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1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idier\Downloads\F1\"/>
    </mc:Choice>
  </mc:AlternateContent>
  <xr:revisionPtr revIDLastSave="0" documentId="8_{3A14E83B-9988-48BC-B420-81EC69A9122F}" xr6:coauthVersionLast="41" xr6:coauthVersionMax="41" xr10:uidLastSave="{00000000-0000-0000-0000-000000000000}"/>
  <bookViews>
    <workbookView showHorizontalScroll="0" showSheetTabs="0" xWindow="-120" yWindow="-120" windowWidth="20730" windowHeight="11310" tabRatio="590" xr2:uid="{00000000-000D-0000-FFFF-FFFF00000000}"/>
  </bookViews>
  <sheets>
    <sheet name="blad0" sheetId="4" r:id="rId1"/>
    <sheet name="kalender" sheetId="34" r:id="rId2"/>
    <sheet name="race-info" sheetId="11" r:id="rId3"/>
    <sheet name="VT1" sheetId="26" r:id="rId4"/>
    <sheet name="VT2" sheetId="27" r:id="rId5"/>
    <sheet name="VT3" sheetId="28" r:id="rId6"/>
    <sheet name="KW" sheetId="29" r:id="rId7"/>
    <sheet name="SO" sheetId="30" r:id="rId8"/>
    <sheet name="uitslag" sheetId="6" r:id="rId9"/>
    <sheet name="progressie" sheetId="25" r:id="rId10"/>
    <sheet name="stnd_cou" sheetId="7" r:id="rId11"/>
    <sheet name="stnd_con" sheetId="8" r:id="rId12"/>
    <sheet name="gem_start" sheetId="35" r:id="rId13"/>
    <sheet name="team-info" sheetId="10" r:id="rId14"/>
    <sheet name="Blad1" sheetId="21" r:id="rId15"/>
    <sheet name="Blad2" sheetId="22" r:id="rId16"/>
    <sheet name="Blad3" sheetId="23" r:id="rId17"/>
    <sheet name="Blad4" sheetId="24" r:id="rId18"/>
    <sheet name="Blad5" sheetId="31" r:id="rId19"/>
  </sheets>
  <externalReferences>
    <externalReference r:id="rId20"/>
  </externalReferences>
  <definedNames>
    <definedName name="_xlnm.Print_Area" localSheetId="0">blad0!$A$1:$N$24</definedName>
    <definedName name="_xlnm.Print_Area" localSheetId="1">kalender!$B$7:$O$35</definedName>
    <definedName name="auto">INDEX(Blad5!$E$2:$F$11,MATCH('team-info'!$A$5,Blad5!$E$2:$E$11,0),2)</definedName>
    <definedName name="dagen">blad0!$A$4</definedName>
    <definedName name="grandprix">Blad1!$A$1:$EK$22</definedName>
    <definedName name="info_rijder">stnd_cou!$AP$31:$AX$51</definedName>
    <definedName name="kwali_uitslag">Blad2!$AV$1:$AV$25</definedName>
    <definedName name="Landvlag1">INDEX(Blad5!$C$15:$D$42,MATCH('team-info'!$E$18,Blad5!$C$15:$C$42,0),2)</definedName>
    <definedName name="Landvlag2">INDEX(Blad5!$C$15:$D$42,MATCH('team-info'!$F$18,Blad5!$C$15:$C$42,0),2)</definedName>
    <definedName name="minuten">blad0!$A$8</definedName>
    <definedName name="punten_rijder">stnd_cou!$AP$8:$BL$28</definedName>
    <definedName name="punten_teams">stnd_cou!$BN$8:$CJ$28</definedName>
    <definedName name="rijder">Blad3!$C$15:$D$39</definedName>
    <definedName name="rijder_team">Blad3!$C$16:$D$39</definedName>
    <definedName name="snelste_ronde">stnd_cou!$CL$8:$DH$28</definedName>
    <definedName name="SO">Blad4!$A$1:$AS$22</definedName>
    <definedName name="startgrid">Blad4!$AV$1:$BS$22</definedName>
    <definedName name="teaminfo">Blad3!$A$1:$AA$11</definedName>
    <definedName name="Teamlogo">INDEX(Blad5!$A$2:$B$11,MATCH('team-info'!$A$5,Blad5!$A$2:$A$11,0),2)</definedName>
    <definedName name="uren">blad0!$A$6</definedName>
    <definedName name="vlag_KW">INDEX(Blad5!$C$15:$D$42,MATCH(KW!$A$9,Blad5!$C$15:$C$42,0),2)</definedName>
    <definedName name="vlag_progressie">INDEX(Blad5!$C$15:$D$42,MATCH(progressie!$A$9,Blad5!$C$15:$C$42,0),2)</definedName>
    <definedName name="vlag_raceinfo">INDEX(Blad5!$C$15:$D$42,MATCH('race-info'!$A$9,Blad5!$C$15:$C$42,0),2)</definedName>
    <definedName name="vlag_SO">INDEX(Blad5!$C$15:$D$42,MATCH(SO!$A$9,Blad5!$C$15:$C$42,0),2)</definedName>
    <definedName name="vlag_uitslag">INDEX(Blad5!$C$15:$D$42,MATCH(uitslag!$A$9,Blad5!$C$15:$C$42,0),2)</definedName>
    <definedName name="vlag_VT1">INDEX(Blad5!$C$15:$D$42,MATCH('VT1'!$A$9,Blad5!$C$15:$C$42,0),2)</definedName>
    <definedName name="vlag_VT2">INDEX(Blad5!$C$15:$D$42,MATCH('VT2'!$A$9,Blad5!$C$15:$C$42,0),2)</definedName>
    <definedName name="vlag_VT3">INDEX(Blad5!$C$15:$D$42,MATCH('VT3'!$A$9,Blad5!$C$15:$C$42,0),2)</definedName>
    <definedName name="vorige_stand">stnd_cou!$AH$9:$AI$28</definedName>
    <definedName name="VT_KW" localSheetId="17">Blad4!$A$1:$AS$22</definedName>
    <definedName name="VT_KW">Blad2!$A$1:$AS$85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Q22" i="24" l="1"/>
  <c r="BQ21" i="24"/>
  <c r="BQ20" i="24"/>
  <c r="BQ19" i="24"/>
  <c r="BQ18" i="24"/>
  <c r="BQ17" i="24"/>
  <c r="BQ16" i="24"/>
  <c r="BQ15" i="24"/>
  <c r="BQ14" i="24"/>
  <c r="BQ13" i="24"/>
  <c r="BQ12" i="24"/>
  <c r="BQ11" i="24"/>
  <c r="BQ10" i="24"/>
  <c r="BQ9" i="24"/>
  <c r="BQ8" i="24"/>
  <c r="BQ7" i="24"/>
  <c r="BQ6" i="24"/>
  <c r="BQ5" i="24"/>
  <c r="BQ4" i="24"/>
  <c r="BQ3" i="24"/>
  <c r="BQ2" i="24"/>
  <c r="BR22" i="24"/>
  <c r="BR21" i="24"/>
  <c r="BR20" i="24"/>
  <c r="BR19" i="24"/>
  <c r="BR18" i="24"/>
  <c r="BR17" i="24"/>
  <c r="BR16" i="24"/>
  <c r="BR15" i="24"/>
  <c r="BR14" i="24"/>
  <c r="BR13" i="24"/>
  <c r="BR12" i="24"/>
  <c r="BR11" i="24"/>
  <c r="BR10" i="24"/>
  <c r="BR9" i="24"/>
  <c r="BR8" i="24"/>
  <c r="BR7" i="24"/>
  <c r="BR6" i="24"/>
  <c r="BR5" i="24"/>
  <c r="BR4" i="24"/>
  <c r="BR3" i="24"/>
  <c r="BR2" i="24"/>
  <c r="AV33" i="35" l="1"/>
  <c r="AU33" i="35"/>
  <c r="AT33" i="35"/>
  <c r="AS33" i="35"/>
  <c r="AR33" i="35"/>
  <c r="AQ33" i="35"/>
  <c r="AP33" i="35"/>
  <c r="AO17" i="35"/>
  <c r="AN17" i="35"/>
  <c r="AV27" i="35"/>
  <c r="AU27" i="35"/>
  <c r="AT27" i="35"/>
  <c r="AS27" i="35"/>
  <c r="AR27" i="35"/>
  <c r="AQ27" i="35"/>
  <c r="AP27" i="35"/>
  <c r="AO11" i="35"/>
  <c r="AN11" i="35"/>
  <c r="BD37" i="7"/>
  <c r="BC37" i="7"/>
  <c r="BB37" i="7"/>
  <c r="BD49" i="7"/>
  <c r="BC49" i="7"/>
  <c r="BB49" i="7"/>
  <c r="CC25" i="7"/>
  <c r="CD25" i="7"/>
  <c r="CE25" i="7"/>
  <c r="CF25" i="7"/>
  <c r="CG25" i="7"/>
  <c r="CH25" i="7"/>
  <c r="CI25" i="7"/>
  <c r="CC13" i="7"/>
  <c r="CD13" i="7"/>
  <c r="CE13" i="7"/>
  <c r="CF13" i="7"/>
  <c r="CG13" i="7"/>
  <c r="CH13" i="7"/>
  <c r="CI13" i="7"/>
  <c r="BA49" i="7"/>
  <c r="AZ49" i="7"/>
  <c r="AY49" i="7"/>
  <c r="BA37" i="7"/>
  <c r="AX37" i="7" s="1"/>
  <c r="AZ37" i="7"/>
  <c r="AY37" i="7"/>
  <c r="AV37" i="7" s="1"/>
  <c r="BK26" i="7"/>
  <c r="BJ26" i="7"/>
  <c r="BI26" i="7"/>
  <c r="BH26" i="7"/>
  <c r="BG26" i="7"/>
  <c r="BF26" i="7"/>
  <c r="BE26" i="7"/>
  <c r="BD26" i="7"/>
  <c r="BC26" i="7"/>
  <c r="BK14" i="7"/>
  <c r="BJ14" i="7"/>
  <c r="BI14" i="7"/>
  <c r="BH14" i="7"/>
  <c r="BG14" i="7"/>
  <c r="BF14" i="7"/>
  <c r="BE14" i="7"/>
  <c r="BD14" i="7"/>
  <c r="BC14" i="7"/>
  <c r="AV49" i="7" l="1"/>
  <c r="AW37" i="7"/>
  <c r="AX49" i="7"/>
  <c r="AW49" i="7"/>
  <c r="BY13" i="7"/>
  <c r="AL10" i="35" l="1"/>
  <c r="AK10" i="35"/>
  <c r="AK9" i="35"/>
  <c r="AL9" i="35"/>
  <c r="AM9" i="35"/>
  <c r="AN9" i="35"/>
  <c r="AO9" i="35"/>
  <c r="AP25" i="35"/>
  <c r="AQ25" i="35"/>
  <c r="AR25" i="35"/>
  <c r="AS25" i="35"/>
  <c r="AT25" i="35"/>
  <c r="AU25" i="35"/>
  <c r="AV25" i="35"/>
  <c r="AM10" i="35"/>
  <c r="AN10" i="35"/>
  <c r="AO10" i="35"/>
  <c r="AP26" i="35"/>
  <c r="AQ26" i="35"/>
  <c r="AR26" i="35"/>
  <c r="AS26" i="35"/>
  <c r="AT26" i="35"/>
  <c r="AU26" i="35"/>
  <c r="AV26" i="35"/>
  <c r="AK11" i="35"/>
  <c r="AL11" i="35"/>
  <c r="AM11" i="35"/>
  <c r="AK12" i="35"/>
  <c r="AL12" i="35"/>
  <c r="AM12" i="35"/>
  <c r="AN12" i="35"/>
  <c r="AO12" i="35"/>
  <c r="AP28" i="35"/>
  <c r="AQ28" i="35"/>
  <c r="AR28" i="35"/>
  <c r="AS28" i="35"/>
  <c r="AT28" i="35"/>
  <c r="AU28" i="35"/>
  <c r="AV28" i="35"/>
  <c r="AK13" i="35"/>
  <c r="AL13" i="35"/>
  <c r="AM13" i="35"/>
  <c r="AN13" i="35"/>
  <c r="AO13" i="35"/>
  <c r="AP29" i="35"/>
  <c r="AQ29" i="35"/>
  <c r="AR29" i="35"/>
  <c r="AS29" i="35"/>
  <c r="AT29" i="35"/>
  <c r="AU29" i="35"/>
  <c r="AV29" i="35"/>
  <c r="AK14" i="35"/>
  <c r="AL14" i="35"/>
  <c r="AM14" i="35"/>
  <c r="AN14" i="35"/>
  <c r="AO14" i="35"/>
  <c r="AP30" i="35"/>
  <c r="AQ30" i="35"/>
  <c r="AR30" i="35"/>
  <c r="AS30" i="35"/>
  <c r="AT30" i="35"/>
  <c r="AU30" i="35"/>
  <c r="AV30" i="35"/>
  <c r="AK15" i="35"/>
  <c r="AL15" i="35"/>
  <c r="AM15" i="35"/>
  <c r="AN15" i="35"/>
  <c r="AO15" i="35"/>
  <c r="AP31" i="35"/>
  <c r="AQ31" i="35"/>
  <c r="AR31" i="35"/>
  <c r="AS31" i="35"/>
  <c r="AT31" i="35"/>
  <c r="AU31" i="35"/>
  <c r="AV31" i="35"/>
  <c r="AK16" i="35"/>
  <c r="AL16" i="35"/>
  <c r="AM16" i="35"/>
  <c r="AN16" i="35"/>
  <c r="AO16" i="35"/>
  <c r="AP32" i="35"/>
  <c r="AQ32" i="35"/>
  <c r="AR32" i="35"/>
  <c r="AS32" i="35"/>
  <c r="AT32" i="35"/>
  <c r="AU32" i="35"/>
  <c r="AV32" i="35"/>
  <c r="AK17" i="35"/>
  <c r="AL17" i="35"/>
  <c r="AM17" i="35"/>
  <c r="AK18" i="35"/>
  <c r="AL18" i="35"/>
  <c r="AM18" i="35"/>
  <c r="AN18" i="35"/>
  <c r="AO18" i="35"/>
  <c r="AP34" i="35"/>
  <c r="AQ34" i="35"/>
  <c r="AR34" i="35"/>
  <c r="AS34" i="35"/>
  <c r="AT34" i="35"/>
  <c r="AU34" i="35"/>
  <c r="AV34" i="35"/>
  <c r="AE12" i="35" l="1"/>
  <c r="AJ18" i="35"/>
  <c r="AI18" i="35"/>
  <c r="AH18" i="35"/>
  <c r="AG18" i="35"/>
  <c r="AF18" i="35"/>
  <c r="AD18" i="35"/>
  <c r="AC18" i="35"/>
  <c r="AB18" i="35"/>
  <c r="AJ17" i="35"/>
  <c r="AI17" i="35"/>
  <c r="AH17" i="35"/>
  <c r="AG17" i="35"/>
  <c r="AF17" i="35"/>
  <c r="AE17" i="35"/>
  <c r="AD17" i="35"/>
  <c r="AC17" i="35"/>
  <c r="AB17" i="35"/>
  <c r="AJ16" i="35"/>
  <c r="AI16" i="35"/>
  <c r="AH16" i="35"/>
  <c r="AG16" i="35"/>
  <c r="AF16" i="35"/>
  <c r="AE16" i="35"/>
  <c r="AD16" i="35"/>
  <c r="AC16" i="35"/>
  <c r="AB16" i="35"/>
  <c r="AJ15" i="35"/>
  <c r="AI15" i="35"/>
  <c r="AH15" i="35"/>
  <c r="AG15" i="35"/>
  <c r="AF15" i="35"/>
  <c r="AD15" i="35"/>
  <c r="AC15" i="35"/>
  <c r="AB15" i="35"/>
  <c r="AJ14" i="35"/>
  <c r="AI14" i="35"/>
  <c r="AH14" i="35"/>
  <c r="AG14" i="35"/>
  <c r="AF14" i="35"/>
  <c r="AE14" i="35"/>
  <c r="AD14" i="35"/>
  <c r="AC14" i="35"/>
  <c r="AB14" i="35"/>
  <c r="AJ13" i="35"/>
  <c r="AI13" i="35"/>
  <c r="AH13" i="35"/>
  <c r="AG13" i="35"/>
  <c r="AF13" i="35"/>
  <c r="AE13" i="35"/>
  <c r="AD13" i="35"/>
  <c r="AC13" i="35"/>
  <c r="AB13" i="35"/>
  <c r="AJ12" i="35"/>
  <c r="AI12" i="35"/>
  <c r="AH12" i="35"/>
  <c r="AG12" i="35"/>
  <c r="AF12" i="35"/>
  <c r="AD12" i="35"/>
  <c r="AC12" i="35"/>
  <c r="AB12" i="35"/>
  <c r="AJ11" i="35"/>
  <c r="AI11" i="35"/>
  <c r="AH11" i="35"/>
  <c r="AG11" i="35"/>
  <c r="AF11" i="35"/>
  <c r="AE11" i="35"/>
  <c r="AD11" i="35"/>
  <c r="AC11" i="35"/>
  <c r="AB11" i="35"/>
  <c r="AJ10" i="35"/>
  <c r="AI10" i="35"/>
  <c r="AH10" i="35"/>
  <c r="AG10" i="35"/>
  <c r="AF10" i="35"/>
  <c r="AE10" i="35"/>
  <c r="AD10" i="35"/>
  <c r="AC10" i="35"/>
  <c r="AB10" i="35"/>
  <c r="AJ9" i="35"/>
  <c r="AI9" i="35"/>
  <c r="AH9" i="35"/>
  <c r="AG9" i="35"/>
  <c r="AF9" i="35"/>
  <c r="AD9" i="35"/>
  <c r="AC9" i="35"/>
  <c r="AB9" i="35"/>
  <c r="AE9" i="35"/>
  <c r="AE15" i="35"/>
  <c r="AE18" i="35"/>
  <c r="X6" i="21" l="1"/>
  <c r="Y6" i="21"/>
  <c r="AF29" i="21" l="1"/>
  <c r="EJ5" i="21"/>
  <c r="CP10" i="7" s="1"/>
  <c r="EJ6" i="21"/>
  <c r="CQ11" i="7" s="1"/>
  <c r="EJ7" i="21"/>
  <c r="CR14" i="7" s="1"/>
  <c r="EJ8" i="21"/>
  <c r="CS10" i="7" s="1"/>
  <c r="EJ9" i="21"/>
  <c r="CT13" i="7" s="1"/>
  <c r="EJ10" i="21"/>
  <c r="CU14" i="7" s="1"/>
  <c r="EJ12" i="21"/>
  <c r="CW10" i="7" s="1"/>
  <c r="EJ13" i="21"/>
  <c r="CX12" i="7" s="1"/>
  <c r="EJ14" i="21"/>
  <c r="CY10" i="7" s="1"/>
  <c r="EJ15" i="21"/>
  <c r="CZ10" i="7" s="1"/>
  <c r="EJ16" i="21"/>
  <c r="DA13" i="7" s="1"/>
  <c r="EJ17" i="21"/>
  <c r="DB10" i="7"/>
  <c r="EJ18" i="21"/>
  <c r="DC14" i="7" s="1"/>
  <c r="EJ19" i="21"/>
  <c r="DD9" i="7" s="1"/>
  <c r="EJ20" i="21"/>
  <c r="EJ22" i="21"/>
  <c r="DG10" i="7" s="1"/>
  <c r="CP11" i="7"/>
  <c r="CP12" i="7"/>
  <c r="DC12" i="7"/>
  <c r="DC13" i="7"/>
  <c r="CS14" i="7"/>
  <c r="DA14" i="7"/>
  <c r="CS15" i="7"/>
  <c r="CU15" i="7"/>
  <c r="DA15" i="7"/>
  <c r="DC16" i="7"/>
  <c r="CP17" i="7"/>
  <c r="CS17" i="7"/>
  <c r="DC17" i="7"/>
  <c r="CS18" i="7"/>
  <c r="DC18" i="7"/>
  <c r="CS19" i="7"/>
  <c r="CU19" i="7"/>
  <c r="DC19" i="7"/>
  <c r="CU20" i="7"/>
  <c r="DC20" i="7"/>
  <c r="CS21" i="7"/>
  <c r="DC21" i="7"/>
  <c r="DC22" i="7"/>
  <c r="CS23" i="7"/>
  <c r="CU23" i="7"/>
  <c r="DC23" i="7"/>
  <c r="CU24" i="7"/>
  <c r="DC24" i="7"/>
  <c r="CS25" i="7"/>
  <c r="DC25" i="7"/>
  <c r="DC26" i="7"/>
  <c r="CU27" i="7"/>
  <c r="DA27" i="7"/>
  <c r="DC27" i="7"/>
  <c r="DC28" i="7"/>
  <c r="DC9" i="7"/>
  <c r="DA9" i="7"/>
  <c r="EJ4" i="21"/>
  <c r="CO10" i="7" s="1"/>
  <c r="EJ11" i="21"/>
  <c r="CV11" i="7" s="1"/>
  <c r="EJ21" i="21"/>
  <c r="DF11" i="7" s="1"/>
  <c r="EJ3" i="21"/>
  <c r="CN24" i="7" s="1"/>
  <c r="EJ2" i="21"/>
  <c r="CM10" i="7" s="1"/>
  <c r="A5" i="6"/>
  <c r="G21" i="6" s="1"/>
  <c r="BK28" i="7"/>
  <c r="BJ28" i="7"/>
  <c r="BI28" i="7"/>
  <c r="BH28" i="7"/>
  <c r="BG28" i="7"/>
  <c r="BF28" i="7"/>
  <c r="BE28" i="7"/>
  <c r="BD28" i="7"/>
  <c r="BC28" i="7"/>
  <c r="BB28" i="7"/>
  <c r="BA28" i="7"/>
  <c r="AZ28" i="7"/>
  <c r="AY28" i="7"/>
  <c r="AX28" i="7"/>
  <c r="AW28" i="7"/>
  <c r="AV28" i="7"/>
  <c r="AU28" i="7"/>
  <c r="AT28" i="7"/>
  <c r="AS28" i="7"/>
  <c r="AR28" i="7"/>
  <c r="AQ28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AS27" i="7"/>
  <c r="AR27" i="7"/>
  <c r="AQ27" i="7"/>
  <c r="BB26" i="7"/>
  <c r="BA26" i="7"/>
  <c r="AZ26" i="7"/>
  <c r="AY26" i="7"/>
  <c r="AX26" i="7"/>
  <c r="AW26" i="7"/>
  <c r="AV26" i="7"/>
  <c r="AU26" i="7"/>
  <c r="AT26" i="7"/>
  <c r="AS26" i="7"/>
  <c r="AR26" i="7"/>
  <c r="AQ26" i="7"/>
  <c r="BK25" i="7"/>
  <c r="BJ25" i="7"/>
  <c r="BI25" i="7"/>
  <c r="BH25" i="7"/>
  <c r="BG25" i="7"/>
  <c r="BF25" i="7"/>
  <c r="BE25" i="7"/>
  <c r="BD25" i="7"/>
  <c r="BC25" i="7"/>
  <c r="BB25" i="7"/>
  <c r="BA25" i="7"/>
  <c r="AZ25" i="7"/>
  <c r="AY25" i="7"/>
  <c r="AX25" i="7"/>
  <c r="AW25" i="7"/>
  <c r="J18" i="7" s="1"/>
  <c r="AV25" i="7"/>
  <c r="AU25" i="7"/>
  <c r="AT25" i="7"/>
  <c r="AS25" i="7"/>
  <c r="AR25" i="7"/>
  <c r="AQ25" i="7"/>
  <c r="BK24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L26" i="7" s="1"/>
  <c r="AX24" i="7"/>
  <c r="AW24" i="7"/>
  <c r="AV24" i="7"/>
  <c r="AU24" i="7"/>
  <c r="AT24" i="7"/>
  <c r="AS24" i="7"/>
  <c r="AR24" i="7"/>
  <c r="AQ24" i="7"/>
  <c r="BK23" i="7"/>
  <c r="BJ23" i="7"/>
  <c r="BI23" i="7"/>
  <c r="BH23" i="7"/>
  <c r="BG23" i="7"/>
  <c r="BF23" i="7"/>
  <c r="BE23" i="7"/>
  <c r="BD23" i="7"/>
  <c r="BC23" i="7"/>
  <c r="BB23" i="7"/>
  <c r="BA23" i="7"/>
  <c r="AZ23" i="7"/>
  <c r="AY23" i="7"/>
  <c r="AX23" i="7"/>
  <c r="AW23" i="7"/>
  <c r="J19" i="7" s="1"/>
  <c r="AV23" i="7"/>
  <c r="AU23" i="7"/>
  <c r="AT23" i="7"/>
  <c r="AS23" i="7"/>
  <c r="AR23" i="7"/>
  <c r="AQ23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AS22" i="7"/>
  <c r="AR22" i="7"/>
  <c r="AQ22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J21" i="7" s="1"/>
  <c r="AV21" i="7"/>
  <c r="AU21" i="7"/>
  <c r="AT21" i="7"/>
  <c r="AS21" i="7"/>
  <c r="AR21" i="7"/>
  <c r="AQ21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L22" i="7" s="1"/>
  <c r="AX20" i="7"/>
  <c r="AW20" i="7"/>
  <c r="AV20" i="7"/>
  <c r="AU20" i="7"/>
  <c r="AT20" i="7"/>
  <c r="AS20" i="7"/>
  <c r="AR20" i="7"/>
  <c r="AQ20" i="7"/>
  <c r="BK19" i="7"/>
  <c r="BJ19" i="7"/>
  <c r="BI19" i="7"/>
  <c r="BH19" i="7"/>
  <c r="BG19" i="7"/>
  <c r="BF19" i="7"/>
  <c r="BE19" i="7"/>
  <c r="BD19" i="7"/>
  <c r="BC19" i="7"/>
  <c r="BB19" i="7"/>
  <c r="BA19" i="7"/>
  <c r="AZ19" i="7"/>
  <c r="AY19" i="7"/>
  <c r="AX19" i="7"/>
  <c r="AW19" i="7"/>
  <c r="J15" i="7" s="1"/>
  <c r="AV19" i="7"/>
  <c r="AU19" i="7"/>
  <c r="AT19" i="7"/>
  <c r="AS19" i="7"/>
  <c r="AR19" i="7"/>
  <c r="AQ19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AS18" i="7"/>
  <c r="AR18" i="7"/>
  <c r="AQ18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M25" i="7" s="1"/>
  <c r="AY17" i="7"/>
  <c r="AX17" i="7"/>
  <c r="AW17" i="7"/>
  <c r="J25" i="7" s="1"/>
  <c r="AV17" i="7"/>
  <c r="AU17" i="7"/>
  <c r="AT17" i="7"/>
  <c r="AS17" i="7"/>
  <c r="AR17" i="7"/>
  <c r="AQ17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AR16" i="7"/>
  <c r="AQ16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AS15" i="7"/>
  <c r="AR15" i="7"/>
  <c r="AQ15" i="7"/>
  <c r="BB14" i="7"/>
  <c r="BA14" i="7"/>
  <c r="AZ14" i="7"/>
  <c r="AY14" i="7"/>
  <c r="AX14" i="7"/>
  <c r="AW14" i="7"/>
  <c r="AV14" i="7"/>
  <c r="AU14" i="7"/>
  <c r="AT14" i="7"/>
  <c r="AS14" i="7"/>
  <c r="AR14" i="7"/>
  <c r="AQ14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AS13" i="7"/>
  <c r="AR13" i="7"/>
  <c r="AQ13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AS12" i="7"/>
  <c r="AR12" i="7"/>
  <c r="AQ12" i="7"/>
  <c r="AX51" i="7"/>
  <c r="AW51" i="7"/>
  <c r="AV51" i="7"/>
  <c r="AX50" i="7"/>
  <c r="AW50" i="7"/>
  <c r="AV50" i="7"/>
  <c r="AX48" i="7"/>
  <c r="AW48" i="7"/>
  <c r="AV48" i="7"/>
  <c r="AX47" i="7"/>
  <c r="AW47" i="7"/>
  <c r="AV47" i="7"/>
  <c r="AX43" i="7"/>
  <c r="AW43" i="7"/>
  <c r="AV43" i="7"/>
  <c r="EI21" i="21"/>
  <c r="X11" i="21"/>
  <c r="A8" i="4"/>
  <c r="A6" i="4"/>
  <c r="A4" i="4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H13" i="7" s="1"/>
  <c r="AT11" i="7"/>
  <c r="AS11" i="7"/>
  <c r="AR11" i="7"/>
  <c r="AQ11" i="7"/>
  <c r="A6" i="30"/>
  <c r="C39" i="30" s="1"/>
  <c r="AX35" i="7"/>
  <c r="AW35" i="7"/>
  <c r="AV35" i="7"/>
  <c r="BJ10" i="7"/>
  <c r="BJ9" i="7"/>
  <c r="BK9" i="7"/>
  <c r="BK10" i="7"/>
  <c r="AW21" i="24"/>
  <c r="AX21" i="24"/>
  <c r="AY21" i="24"/>
  <c r="AZ21" i="24"/>
  <c r="BA21" i="24"/>
  <c r="BB21" i="24"/>
  <c r="BC21" i="24"/>
  <c r="BD21" i="24"/>
  <c r="BE21" i="24"/>
  <c r="BF21" i="24"/>
  <c r="BG21" i="24"/>
  <c r="BH21" i="24"/>
  <c r="BI21" i="24"/>
  <c r="BJ21" i="24"/>
  <c r="BK21" i="24"/>
  <c r="BL21" i="24"/>
  <c r="BM21" i="24"/>
  <c r="BN21" i="24"/>
  <c r="BO21" i="24"/>
  <c r="BP21" i="24"/>
  <c r="EG21" i="21"/>
  <c r="EB21" i="21"/>
  <c r="DW21" i="21"/>
  <c r="DR21" i="21"/>
  <c r="DM21" i="21"/>
  <c r="DH21" i="21"/>
  <c r="DC21" i="21"/>
  <c r="CX21" i="21"/>
  <c r="CS21" i="21"/>
  <c r="CN21" i="21"/>
  <c r="CI21" i="21"/>
  <c r="CD21" i="21"/>
  <c r="BY21" i="21"/>
  <c r="BT21" i="21"/>
  <c r="BO21" i="21"/>
  <c r="BJ21" i="21"/>
  <c r="BE21" i="21"/>
  <c r="AZ21" i="21"/>
  <c r="AU21" i="21"/>
  <c r="AP21" i="21"/>
  <c r="AK21" i="21"/>
  <c r="AF21" i="21"/>
  <c r="Y21" i="21"/>
  <c r="X21" i="21"/>
  <c r="AQ9" i="7"/>
  <c r="AR9" i="7"/>
  <c r="AS9" i="7"/>
  <c r="AT9" i="7"/>
  <c r="AU9" i="7"/>
  <c r="AV9" i="7"/>
  <c r="AW9" i="7"/>
  <c r="AX9" i="7"/>
  <c r="AY9" i="7"/>
  <c r="AZ9" i="7"/>
  <c r="BA9" i="7"/>
  <c r="BB9" i="7"/>
  <c r="BC9" i="7"/>
  <c r="BD9" i="7"/>
  <c r="BE9" i="7"/>
  <c r="BF9" i="7"/>
  <c r="BG9" i="7"/>
  <c r="BH9" i="7"/>
  <c r="BI9" i="7"/>
  <c r="AQ10" i="7"/>
  <c r="AR10" i="7"/>
  <c r="AS10" i="7"/>
  <c r="AT10" i="7"/>
  <c r="AU10" i="7"/>
  <c r="AV10" i="7"/>
  <c r="AW10" i="7"/>
  <c r="AX10" i="7"/>
  <c r="AY10" i="7"/>
  <c r="AZ10" i="7"/>
  <c r="BA10" i="7"/>
  <c r="BB10" i="7"/>
  <c r="BC10" i="7"/>
  <c r="BD10" i="7"/>
  <c r="BE10" i="7"/>
  <c r="BF10" i="7"/>
  <c r="BG10" i="7"/>
  <c r="BH10" i="7"/>
  <c r="BI10" i="7"/>
  <c r="AV32" i="7"/>
  <c r="AW32" i="7"/>
  <c r="AX32" i="7"/>
  <c r="AV33" i="7"/>
  <c r="AW33" i="7"/>
  <c r="AX33" i="7"/>
  <c r="AV38" i="7"/>
  <c r="AW38" i="7"/>
  <c r="AX38" i="7"/>
  <c r="AV36" i="7"/>
  <c r="AW36" i="7"/>
  <c r="AX36" i="7"/>
  <c r="AV34" i="7"/>
  <c r="AW34" i="7"/>
  <c r="AX34" i="7"/>
  <c r="AV46" i="7"/>
  <c r="AW46" i="7"/>
  <c r="AX46" i="7"/>
  <c r="AV44" i="7"/>
  <c r="AW44" i="7"/>
  <c r="AX44" i="7"/>
  <c r="AV45" i="7"/>
  <c r="AW45" i="7"/>
  <c r="AX45" i="7"/>
  <c r="AV42" i="7"/>
  <c r="AW42" i="7"/>
  <c r="AX42" i="7"/>
  <c r="AV40" i="7"/>
  <c r="AW40" i="7"/>
  <c r="AX40" i="7"/>
  <c r="AV41" i="7"/>
  <c r="AW41" i="7"/>
  <c r="AX41" i="7"/>
  <c r="AV39" i="7"/>
  <c r="AW39" i="7"/>
  <c r="AX39" i="7"/>
  <c r="BP22" i="24"/>
  <c r="BP20" i="24"/>
  <c r="BP19" i="24"/>
  <c r="BP18" i="24"/>
  <c r="BP17" i="24"/>
  <c r="BP16" i="24"/>
  <c r="BP15" i="24"/>
  <c r="BP14" i="24"/>
  <c r="BP13" i="24"/>
  <c r="BP12" i="24"/>
  <c r="BP11" i="24"/>
  <c r="BP10" i="24"/>
  <c r="BP9" i="24"/>
  <c r="BP8" i="24"/>
  <c r="BP7" i="24"/>
  <c r="BP6" i="24"/>
  <c r="BP5" i="24"/>
  <c r="BP4" i="24"/>
  <c r="DH4" i="21" s="1"/>
  <c r="BP3" i="24"/>
  <c r="DC3" i="21" s="1"/>
  <c r="BP2" i="24"/>
  <c r="DH2" i="21" s="1"/>
  <c r="AA28" i="7"/>
  <c r="AD28" i="7" s="1"/>
  <c r="AB28" i="7" s="1"/>
  <c r="EB2" i="21"/>
  <c r="EG2" i="21"/>
  <c r="EB3" i="21"/>
  <c r="EG3" i="21"/>
  <c r="EB4" i="21"/>
  <c r="EG4" i="21"/>
  <c r="EB5" i="21"/>
  <c r="EG5" i="21"/>
  <c r="EB6" i="21"/>
  <c r="EG6" i="21"/>
  <c r="EB7" i="21"/>
  <c r="EG7" i="21"/>
  <c r="EB8" i="21"/>
  <c r="EG8" i="21"/>
  <c r="EB9" i="21"/>
  <c r="EG9" i="21"/>
  <c r="EB10" i="21"/>
  <c r="EG10" i="21"/>
  <c r="EB11" i="21"/>
  <c r="EG11" i="21"/>
  <c r="EB12" i="21"/>
  <c r="EG12" i="21"/>
  <c r="EB13" i="21"/>
  <c r="EG13" i="21"/>
  <c r="EB14" i="21"/>
  <c r="EG14" i="21"/>
  <c r="EB15" i="21"/>
  <c r="EG15" i="21"/>
  <c r="EB16" i="21"/>
  <c r="EG16" i="21"/>
  <c r="EB17" i="21"/>
  <c r="EG17" i="21"/>
  <c r="EB18" i="21"/>
  <c r="EG18" i="21"/>
  <c r="EB19" i="21"/>
  <c r="EG19" i="21"/>
  <c r="EB20" i="21"/>
  <c r="EG20" i="21"/>
  <c r="EB22" i="21"/>
  <c r="EG22" i="21"/>
  <c r="AY2" i="24"/>
  <c r="AZ2" i="24"/>
  <c r="AZ2" i="21" s="1"/>
  <c r="BA2" i="24"/>
  <c r="AP2" i="21" s="1"/>
  <c r="BB2" i="24"/>
  <c r="CD2" i="21" s="1"/>
  <c r="BC2" i="24"/>
  <c r="DR2" i="21"/>
  <c r="BD2" i="24"/>
  <c r="BE2" i="24"/>
  <c r="DM2" i="21"/>
  <c r="BF2" i="24"/>
  <c r="BG2" i="24"/>
  <c r="DW2" i="21" s="1"/>
  <c r="BH2" i="24"/>
  <c r="CI2" i="21" s="1"/>
  <c r="BI2" i="24"/>
  <c r="CN2" i="21" s="1"/>
  <c r="BJ2" i="24"/>
  <c r="BK2" i="24"/>
  <c r="BO2" i="21"/>
  <c r="BL2" i="24"/>
  <c r="CX2" i="21" s="1"/>
  <c r="BM2" i="24"/>
  <c r="BY2" i="21" s="1"/>
  <c r="BN2" i="24"/>
  <c r="CS2" i="21"/>
  <c r="BO2" i="24"/>
  <c r="DC2" i="21"/>
  <c r="AY3" i="24"/>
  <c r="AZ3" i="21" s="1"/>
  <c r="AZ3" i="24"/>
  <c r="BA3" i="24"/>
  <c r="AU3" i="21" s="1"/>
  <c r="BB3" i="24"/>
  <c r="BO3" i="21" s="1"/>
  <c r="BG3" i="24"/>
  <c r="DR3" i="21" s="1"/>
  <c r="BC3" i="24"/>
  <c r="DM3" i="21"/>
  <c r="BD3" i="24"/>
  <c r="DH3" i="21"/>
  <c r="BE3" i="24"/>
  <c r="BF3" i="24"/>
  <c r="BH3" i="24"/>
  <c r="BE3" i="21" s="1"/>
  <c r="BI3" i="24"/>
  <c r="BY3" i="21"/>
  <c r="BJ3" i="24"/>
  <c r="CS3" i="21"/>
  <c r="BK3" i="24"/>
  <c r="BL3" i="24"/>
  <c r="BM3" i="24"/>
  <c r="BN3" i="24"/>
  <c r="BT3" i="21" s="1"/>
  <c r="BO3" i="24"/>
  <c r="CX3" i="21" s="1"/>
  <c r="AY4" i="24"/>
  <c r="BI4" i="24"/>
  <c r="BO4" i="21" s="1"/>
  <c r="AZ4" i="24"/>
  <c r="BA4" i="24"/>
  <c r="AU4" i="21" s="1"/>
  <c r="BB4" i="24"/>
  <c r="BC4" i="24"/>
  <c r="BD4" i="24"/>
  <c r="BE4" i="24"/>
  <c r="BF4" i="24"/>
  <c r="BG4" i="24"/>
  <c r="BH4" i="24"/>
  <c r="DM4" i="21" s="1"/>
  <c r="BJ4" i="24"/>
  <c r="BK4" i="24"/>
  <c r="BL4" i="24"/>
  <c r="CX4" i="21"/>
  <c r="BM4" i="24"/>
  <c r="BJ4" i="21"/>
  <c r="BN4" i="24"/>
  <c r="BO4" i="24"/>
  <c r="DC4" i="21" s="1"/>
  <c r="AY5" i="24"/>
  <c r="AZ5" i="24"/>
  <c r="BA5" i="24"/>
  <c r="AU5" i="21" s="1"/>
  <c r="BB5" i="24"/>
  <c r="DC5" i="21"/>
  <c r="BC5" i="24"/>
  <c r="AP5" i="21"/>
  <c r="BD5" i="24"/>
  <c r="BE5" i="24"/>
  <c r="BF5" i="24"/>
  <c r="DW5" i="21"/>
  <c r="BG5" i="24"/>
  <c r="BH5" i="24"/>
  <c r="BI5" i="24"/>
  <c r="BJ5" i="24"/>
  <c r="BK5" i="24"/>
  <c r="BL5" i="24"/>
  <c r="CN5" i="21"/>
  <c r="BM5" i="24"/>
  <c r="BN5" i="24"/>
  <c r="BO5" i="24"/>
  <c r="AY6" i="24"/>
  <c r="AZ6" i="24"/>
  <c r="AZ6" i="21" s="1"/>
  <c r="BA6" i="24"/>
  <c r="BB6" i="24"/>
  <c r="BC6" i="24"/>
  <c r="BT6" i="21"/>
  <c r="BD6" i="24"/>
  <c r="BE6" i="24"/>
  <c r="BY6" i="21" s="1"/>
  <c r="BF6" i="24"/>
  <c r="BG6" i="24"/>
  <c r="BH6" i="24"/>
  <c r="BI6" i="24"/>
  <c r="BJ6" i="24"/>
  <c r="BK6" i="24"/>
  <c r="DM6" i="21"/>
  <c r="BL6" i="24"/>
  <c r="BM6" i="24"/>
  <c r="BN6" i="24"/>
  <c r="BO6" i="24"/>
  <c r="CN6" i="21"/>
  <c r="AY7" i="24"/>
  <c r="AZ7" i="24"/>
  <c r="AU7" i="21"/>
  <c r="BA7" i="24"/>
  <c r="BB7" i="24"/>
  <c r="BC7" i="24"/>
  <c r="BD7" i="24"/>
  <c r="BE7" i="21"/>
  <c r="BE7" i="24"/>
  <c r="BF7" i="24"/>
  <c r="CS7" i="21" s="1"/>
  <c r="DC7" i="21"/>
  <c r="BG7" i="24"/>
  <c r="BH7" i="24"/>
  <c r="BI7" i="24"/>
  <c r="BJ7" i="24"/>
  <c r="BK7" i="24"/>
  <c r="BL7" i="24"/>
  <c r="CN7" i="21"/>
  <c r="BM7" i="24"/>
  <c r="BN7" i="24"/>
  <c r="BO7" i="24"/>
  <c r="AY8" i="24"/>
  <c r="AZ8" i="24"/>
  <c r="BA8" i="24"/>
  <c r="BB8" i="24"/>
  <c r="BC8" i="24"/>
  <c r="BD8" i="24"/>
  <c r="BE8" i="24"/>
  <c r="BF8" i="24"/>
  <c r="BG8" i="24"/>
  <c r="BH8" i="24"/>
  <c r="DW8" i="21" s="1"/>
  <c r="BI8" i="24"/>
  <c r="BJ8" i="24"/>
  <c r="BK8" i="24"/>
  <c r="CI8" i="21"/>
  <c r="BL8" i="24"/>
  <c r="BM8" i="24"/>
  <c r="BN8" i="24"/>
  <c r="BO8" i="24"/>
  <c r="AY9" i="24"/>
  <c r="AZ9" i="24"/>
  <c r="BA9" i="24"/>
  <c r="BB9" i="24"/>
  <c r="BC9" i="24"/>
  <c r="BD9" i="24"/>
  <c r="BE9" i="24"/>
  <c r="BF9" i="24"/>
  <c r="CX9" i="21"/>
  <c r="BG9" i="24"/>
  <c r="BH9" i="24"/>
  <c r="BI9" i="24"/>
  <c r="BJ9" i="24"/>
  <c r="CS9" i="21"/>
  <c r="BK9" i="24"/>
  <c r="BL9" i="24"/>
  <c r="BE9" i="21"/>
  <c r="BM9" i="24"/>
  <c r="BN9" i="24"/>
  <c r="CI9" i="21"/>
  <c r="BO9" i="24"/>
  <c r="AY10" i="24"/>
  <c r="AZ10" i="24"/>
  <c r="BA10" i="24"/>
  <c r="BB10" i="24"/>
  <c r="BJ10" i="21" s="1"/>
  <c r="BC10" i="24"/>
  <c r="BD10" i="24"/>
  <c r="BE10" i="24"/>
  <c r="BF10" i="24"/>
  <c r="BG10" i="24"/>
  <c r="DW10" i="21"/>
  <c r="BH10" i="24"/>
  <c r="BI10" i="24"/>
  <c r="CD10" i="21" s="1"/>
  <c r="BJ10" i="24"/>
  <c r="BK10" i="24"/>
  <c r="BL10" i="24"/>
  <c r="BY10" i="21" s="1"/>
  <c r="BM10" i="24"/>
  <c r="BN10" i="24"/>
  <c r="CX10" i="21"/>
  <c r="BO10" i="24"/>
  <c r="DM10" i="21" s="1"/>
  <c r="AY11" i="24"/>
  <c r="AZ11" i="24"/>
  <c r="BA11" i="24"/>
  <c r="BB11" i="24"/>
  <c r="BC11" i="24"/>
  <c r="BD11" i="24"/>
  <c r="BE11" i="24"/>
  <c r="BF11" i="24"/>
  <c r="BG11" i="24"/>
  <c r="BE11" i="21"/>
  <c r="BH11" i="24"/>
  <c r="BI11" i="24"/>
  <c r="BJ11" i="24"/>
  <c r="DW11" i="21"/>
  <c r="BK11" i="24"/>
  <c r="DC11" i="21"/>
  <c r="BL11" i="24"/>
  <c r="BM11" i="24"/>
  <c r="BN11" i="24"/>
  <c r="BO11" i="24"/>
  <c r="AY12" i="24"/>
  <c r="AZ12" i="24"/>
  <c r="AP12" i="21"/>
  <c r="BA12" i="24"/>
  <c r="DW12" i="21"/>
  <c r="BB12" i="24"/>
  <c r="BC12" i="24"/>
  <c r="BD12" i="24"/>
  <c r="BE12" i="24"/>
  <c r="DH12" i="21"/>
  <c r="BF12" i="24"/>
  <c r="BG12" i="24"/>
  <c r="AZ12" i="21"/>
  <c r="BH12" i="24"/>
  <c r="BI12" i="24"/>
  <c r="BJ12" i="24"/>
  <c r="BK12" i="24"/>
  <c r="BL12" i="24"/>
  <c r="CD12" i="21"/>
  <c r="BM12" i="24"/>
  <c r="BN12" i="24"/>
  <c r="BO12" i="24"/>
  <c r="BT12" i="21"/>
  <c r="AY13" i="24"/>
  <c r="AZ13" i="24"/>
  <c r="AP13" i="21"/>
  <c r="BA13" i="24"/>
  <c r="BB13" i="24"/>
  <c r="DR13" i="21"/>
  <c r="BC13" i="24"/>
  <c r="BD13" i="24"/>
  <c r="CN13" i="21"/>
  <c r="BE13" i="24"/>
  <c r="BF13" i="24"/>
  <c r="BG13" i="24"/>
  <c r="BH13" i="24"/>
  <c r="BT13" i="21"/>
  <c r="BI13" i="24"/>
  <c r="BJ13" i="24"/>
  <c r="BK13" i="24"/>
  <c r="BL13" i="24"/>
  <c r="BM13" i="24"/>
  <c r="BN13" i="24"/>
  <c r="BO13" i="24"/>
  <c r="AY14" i="24"/>
  <c r="AZ14" i="24"/>
  <c r="BA14" i="24"/>
  <c r="BB14" i="24"/>
  <c r="BC14" i="24"/>
  <c r="BD14" i="24"/>
  <c r="BE14" i="24"/>
  <c r="CN14" i="21"/>
  <c r="BF14" i="24"/>
  <c r="BG14" i="24"/>
  <c r="DW14" i="21"/>
  <c r="BH14" i="24"/>
  <c r="BI14" i="24"/>
  <c r="BT14" i="21"/>
  <c r="BJ14" i="24"/>
  <c r="BK14" i="24"/>
  <c r="BL14" i="24"/>
  <c r="BM14" i="24"/>
  <c r="DR14" i="21"/>
  <c r="BN14" i="24"/>
  <c r="BO14" i="24"/>
  <c r="AY15" i="24"/>
  <c r="AZ15" i="24"/>
  <c r="BA15" i="24"/>
  <c r="BB15" i="24"/>
  <c r="BC15" i="24"/>
  <c r="BD15" i="24"/>
  <c r="BE15" i="21"/>
  <c r="BE15" i="24"/>
  <c r="BF15" i="24"/>
  <c r="BG15" i="24"/>
  <c r="BH15" i="24"/>
  <c r="BI15" i="24"/>
  <c r="BJ15" i="24"/>
  <c r="DR15" i="21"/>
  <c r="BK15" i="24"/>
  <c r="BL15" i="24"/>
  <c r="BM15" i="24"/>
  <c r="BN15" i="24"/>
  <c r="CI15" i="21"/>
  <c r="BO15" i="24"/>
  <c r="AY16" i="24"/>
  <c r="AZ16" i="24"/>
  <c r="BA16" i="24"/>
  <c r="BB16" i="24"/>
  <c r="BC16" i="24"/>
  <c r="BD16" i="24"/>
  <c r="BE16" i="24"/>
  <c r="BF16" i="24"/>
  <c r="BG16" i="24"/>
  <c r="BH16" i="24"/>
  <c r="BI16" i="24"/>
  <c r="BJ16" i="24"/>
  <c r="BK16" i="24"/>
  <c r="BL16" i="24"/>
  <c r="BM16" i="24"/>
  <c r="BN16" i="24"/>
  <c r="BO16" i="24"/>
  <c r="AY17" i="24"/>
  <c r="AZ17" i="24"/>
  <c r="BA17" i="24"/>
  <c r="BB17" i="24"/>
  <c r="BC17" i="24"/>
  <c r="BD17" i="24"/>
  <c r="BE17" i="24"/>
  <c r="BF17" i="24"/>
  <c r="BG17" i="24"/>
  <c r="BH17" i="24"/>
  <c r="BI17" i="24"/>
  <c r="BJ17" i="24"/>
  <c r="BK17" i="24"/>
  <c r="BL17" i="24"/>
  <c r="BM17" i="24"/>
  <c r="BN17" i="24"/>
  <c r="BO17" i="24"/>
  <c r="AY18" i="24"/>
  <c r="AZ18" i="24"/>
  <c r="BA18" i="24"/>
  <c r="BB18" i="24"/>
  <c r="BC18" i="24"/>
  <c r="BD18" i="24"/>
  <c r="BE18" i="24"/>
  <c r="BF18" i="24"/>
  <c r="BG18" i="24"/>
  <c r="BH18" i="24"/>
  <c r="BI18" i="24"/>
  <c r="BJ18" i="24"/>
  <c r="BK18" i="24"/>
  <c r="BL18" i="24"/>
  <c r="BM18" i="24"/>
  <c r="BN18" i="24"/>
  <c r="BO18" i="24"/>
  <c r="AY19" i="24"/>
  <c r="AZ19" i="24"/>
  <c r="BA19" i="24"/>
  <c r="BB19" i="24"/>
  <c r="BC19" i="24"/>
  <c r="BD19" i="24"/>
  <c r="BE19" i="24"/>
  <c r="BF19" i="24"/>
  <c r="BG19" i="24"/>
  <c r="BH19" i="24"/>
  <c r="BI19" i="24"/>
  <c r="BJ19" i="24"/>
  <c r="BK19" i="24"/>
  <c r="BL19" i="24"/>
  <c r="BM19" i="24"/>
  <c r="BN19" i="24"/>
  <c r="BO19" i="24"/>
  <c r="AY20" i="24"/>
  <c r="AZ20" i="24"/>
  <c r="BA20" i="24"/>
  <c r="BB20" i="24"/>
  <c r="BC20" i="24"/>
  <c r="BD20" i="24"/>
  <c r="BE20" i="24"/>
  <c r="BF20" i="24"/>
  <c r="BG20" i="24"/>
  <c r="BH20" i="24"/>
  <c r="BI20" i="24"/>
  <c r="BJ20" i="24"/>
  <c r="BK20" i="24"/>
  <c r="BL20" i="24"/>
  <c r="BM20" i="24"/>
  <c r="BN20" i="24"/>
  <c r="BO20" i="24"/>
  <c r="AY22" i="24"/>
  <c r="AZ22" i="24"/>
  <c r="BA22" i="24"/>
  <c r="BB22" i="24"/>
  <c r="BC22" i="24"/>
  <c r="BD22" i="24"/>
  <c r="BE22" i="24"/>
  <c r="BF22" i="24"/>
  <c r="BG22" i="24"/>
  <c r="BH22" i="24"/>
  <c r="BI22" i="24"/>
  <c r="BJ22" i="24"/>
  <c r="BK22" i="24"/>
  <c r="BL22" i="24"/>
  <c r="BM22" i="24"/>
  <c r="BN22" i="24"/>
  <c r="BO22" i="24"/>
  <c r="AX3" i="24"/>
  <c r="AK3" i="21" s="1"/>
  <c r="AX4" i="24"/>
  <c r="AK4" i="21" s="1"/>
  <c r="AX5" i="24"/>
  <c r="AX6" i="24"/>
  <c r="AX7" i="24"/>
  <c r="AZ7" i="21"/>
  <c r="AX8" i="24"/>
  <c r="AU8" i="21" s="1"/>
  <c r="AX9" i="24"/>
  <c r="BJ9" i="21"/>
  <c r="AX10" i="24"/>
  <c r="AP10" i="21" s="1"/>
  <c r="DR10" i="21"/>
  <c r="AX11" i="24"/>
  <c r="AU11" i="21"/>
  <c r="AX12" i="24"/>
  <c r="AX13" i="24"/>
  <c r="AX14" i="24"/>
  <c r="AU14" i="21"/>
  <c r="AX15" i="24"/>
  <c r="AX16" i="24"/>
  <c r="AX17" i="24"/>
  <c r="AX18" i="24"/>
  <c r="AX19" i="24"/>
  <c r="AX20" i="24"/>
  <c r="AX22" i="24"/>
  <c r="AX2" i="24"/>
  <c r="AF2" i="21" s="1"/>
  <c r="AW3" i="24"/>
  <c r="AF3" i="21" s="1"/>
  <c r="AP3" i="21"/>
  <c r="AW4" i="24"/>
  <c r="AF4" i="21" s="1"/>
  <c r="AW5" i="24"/>
  <c r="AK5" i="21" s="1"/>
  <c r="AW6" i="24"/>
  <c r="AF6" i="21"/>
  <c r="AW7" i="24"/>
  <c r="AW8" i="24"/>
  <c r="AF8" i="21" s="1"/>
  <c r="AZ8" i="21"/>
  <c r="AW9" i="24"/>
  <c r="AW10" i="24"/>
  <c r="AW11" i="24"/>
  <c r="AK11" i="21"/>
  <c r="AW12" i="24"/>
  <c r="AW13" i="24"/>
  <c r="AW14" i="24"/>
  <c r="AK14" i="21"/>
  <c r="AW15" i="24"/>
  <c r="AW16" i="24"/>
  <c r="AW17" i="24"/>
  <c r="AW18" i="24"/>
  <c r="AW19" i="24"/>
  <c r="AW20" i="24"/>
  <c r="AW22" i="24"/>
  <c r="AW2" i="24"/>
  <c r="AK2" i="21" s="1"/>
  <c r="EI22" i="21"/>
  <c r="EI20" i="21"/>
  <c r="EI19" i="21"/>
  <c r="EI18" i="21"/>
  <c r="EI17" i="21"/>
  <c r="EI16" i="21"/>
  <c r="EI15" i="21"/>
  <c r="EI14" i="21"/>
  <c r="EI13" i="21"/>
  <c r="EI4" i="21"/>
  <c r="EI3" i="21"/>
  <c r="Y4" i="21"/>
  <c r="X4" i="21"/>
  <c r="Y3" i="21"/>
  <c r="X3" i="21"/>
  <c r="Y22" i="21"/>
  <c r="X22" i="21"/>
  <c r="Y20" i="21"/>
  <c r="X20" i="21"/>
  <c r="Y19" i="21"/>
  <c r="X19" i="21"/>
  <c r="Y18" i="21"/>
  <c r="X18" i="21"/>
  <c r="Y17" i="21"/>
  <c r="X17" i="21"/>
  <c r="Y16" i="21"/>
  <c r="X16" i="21"/>
  <c r="Y15" i="21"/>
  <c r="X15" i="21"/>
  <c r="Y14" i="21"/>
  <c r="X14" i="21"/>
  <c r="Y13" i="21"/>
  <c r="X13" i="21"/>
  <c r="DC9" i="21"/>
  <c r="DW6" i="21"/>
  <c r="EI12" i="21"/>
  <c r="DR12" i="21"/>
  <c r="CX12" i="21"/>
  <c r="CN12" i="21"/>
  <c r="BJ12" i="21"/>
  <c r="AF12" i="21"/>
  <c r="Y12" i="21"/>
  <c r="X12" i="21"/>
  <c r="EI11" i="21"/>
  <c r="DM11" i="21"/>
  <c r="CS11" i="21"/>
  <c r="BY11" i="21"/>
  <c r="Y11" i="21"/>
  <c r="EI10" i="21"/>
  <c r="DH10" i="21"/>
  <c r="CN10" i="21"/>
  <c r="BT10" i="21"/>
  <c r="AZ10" i="21"/>
  <c r="AF10" i="21"/>
  <c r="Y10" i="21"/>
  <c r="X10" i="21"/>
  <c r="EI9" i="21"/>
  <c r="DM9" i="21"/>
  <c r="BY9" i="21"/>
  <c r="AK9" i="21"/>
  <c r="Y9" i="21"/>
  <c r="X9" i="21"/>
  <c r="EI8" i="21"/>
  <c r="DR8" i="21"/>
  <c r="DH8" i="21"/>
  <c r="CX8" i="21"/>
  <c r="CN8" i="21"/>
  <c r="CD8" i="21"/>
  <c r="BT8" i="21"/>
  <c r="BJ8" i="21"/>
  <c r="AP8" i="21"/>
  <c r="Y8" i="21"/>
  <c r="X8" i="21"/>
  <c r="EI7" i="21"/>
  <c r="DM7" i="21"/>
  <c r="BY7" i="21"/>
  <c r="AK7" i="21"/>
  <c r="Y7" i="21"/>
  <c r="X7" i="21"/>
  <c r="EI6" i="21"/>
  <c r="DR6" i="21"/>
  <c r="DH6" i="21"/>
  <c r="CX6" i="21"/>
  <c r="CD6" i="21"/>
  <c r="BJ6" i="21"/>
  <c r="AP6" i="21"/>
  <c r="EI5" i="21"/>
  <c r="BY5" i="21"/>
  <c r="Y5" i="21"/>
  <c r="X5" i="21"/>
  <c r="EI2" i="21"/>
  <c r="Y2" i="21"/>
  <c r="X2" i="21"/>
  <c r="E38" i="10"/>
  <c r="E37" i="10"/>
  <c r="E36" i="10"/>
  <c r="E35" i="10"/>
  <c r="E34" i="10"/>
  <c r="E33" i="10"/>
  <c r="E32" i="10"/>
  <c r="E30" i="10"/>
  <c r="E28" i="10"/>
  <c r="E27" i="10"/>
  <c r="F21" i="10"/>
  <c r="E21" i="10"/>
  <c r="F19" i="10"/>
  <c r="F20" i="10" s="1"/>
  <c r="E19" i="10"/>
  <c r="E20" i="10" s="1"/>
  <c r="F18" i="10"/>
  <c r="E18" i="10"/>
  <c r="F16" i="10"/>
  <c r="E16" i="10"/>
  <c r="E13" i="10"/>
  <c r="E11" i="10"/>
  <c r="B9" i="10"/>
  <c r="A7" i="10"/>
  <c r="F17" i="10" s="1"/>
  <c r="A6" i="10"/>
  <c r="E17" i="10" s="1"/>
  <c r="AA27" i="7"/>
  <c r="AD27" i="7" s="1"/>
  <c r="AB27" i="7" s="1"/>
  <c r="AA26" i="7"/>
  <c r="AD26" i="7" s="1"/>
  <c r="AB26" i="7" s="1"/>
  <c r="AA25" i="7"/>
  <c r="AD25" i="7" s="1"/>
  <c r="AB25" i="7" s="1"/>
  <c r="AA24" i="7"/>
  <c r="AD24" i="7" s="1"/>
  <c r="AB24" i="7" s="1"/>
  <c r="AA23" i="7"/>
  <c r="AD23" i="7" s="1"/>
  <c r="AB23" i="7" s="1"/>
  <c r="AA22" i="7"/>
  <c r="AD22" i="7" s="1"/>
  <c r="AB22" i="7" s="1"/>
  <c r="AA21" i="7"/>
  <c r="AD21" i="7" s="1"/>
  <c r="AB21" i="7" s="1"/>
  <c r="AA20" i="7"/>
  <c r="AD20" i="7" s="1"/>
  <c r="AB20" i="7" s="1"/>
  <c r="AA19" i="7"/>
  <c r="AD19" i="7" s="1"/>
  <c r="AB19" i="7" s="1"/>
  <c r="AA18" i="7"/>
  <c r="AD18" i="7" s="1"/>
  <c r="AB18" i="7" s="1"/>
  <c r="AA17" i="7"/>
  <c r="AD17" i="7" s="1"/>
  <c r="AB17" i="7" s="1"/>
  <c r="AA16" i="7"/>
  <c r="AD16" i="7" s="1"/>
  <c r="AB16" i="7" s="1"/>
  <c r="AA15" i="7"/>
  <c r="AD15" i="7" s="1"/>
  <c r="AB15" i="7" s="1"/>
  <c r="AA14" i="7"/>
  <c r="AD14" i="7" s="1"/>
  <c r="AB14" i="7" s="1"/>
  <c r="AA13" i="7"/>
  <c r="AD13" i="7" s="1"/>
  <c r="AB13" i="7" s="1"/>
  <c r="AA12" i="7"/>
  <c r="AD12" i="7" s="1"/>
  <c r="AB12" i="7" s="1"/>
  <c r="AA11" i="7"/>
  <c r="AD11" i="7" s="1"/>
  <c r="AB11" i="7" s="1"/>
  <c r="AA10" i="7"/>
  <c r="AD10" i="7" s="1"/>
  <c r="AB10" i="7" s="1"/>
  <c r="AA9" i="7"/>
  <c r="AD9" i="7" s="1"/>
  <c r="AB9" i="7" s="1"/>
  <c r="A5" i="25"/>
  <c r="G16" i="25" s="1"/>
  <c r="A5" i="30"/>
  <c r="A9" i="30" s="1"/>
  <c r="A6" i="29"/>
  <c r="H18" i="29" s="1"/>
  <c r="A5" i="29"/>
  <c r="L27" i="29" s="1"/>
  <c r="P27" i="29" s="1"/>
  <c r="A5" i="28"/>
  <c r="C9" i="28" s="1"/>
  <c r="A5" i="27"/>
  <c r="C9" i="27" s="1"/>
  <c r="A5" i="26"/>
  <c r="A9" i="26" s="1"/>
  <c r="E27" i="11"/>
  <c r="E26" i="11"/>
  <c r="E25" i="11"/>
  <c r="A5" i="11"/>
  <c r="H25" i="11" s="1"/>
  <c r="DR5" i="21"/>
  <c r="CI7" i="21"/>
  <c r="DW7" i="21"/>
  <c r="AU9" i="21"/>
  <c r="DW9" i="21"/>
  <c r="CI11" i="21"/>
  <c r="BT2" i="21"/>
  <c r="BJ2" i="21"/>
  <c r="BO7" i="21"/>
  <c r="BO9" i="21"/>
  <c r="BO11" i="21"/>
  <c r="DR7" i="21"/>
  <c r="DR11" i="21"/>
  <c r="DW4" i="21"/>
  <c r="CI4" i="21"/>
  <c r="CS4" i="21"/>
  <c r="BY4" i="21"/>
  <c r="BE4" i="21"/>
  <c r="DR4" i="21"/>
  <c r="CD4" i="21"/>
  <c r="AP4" i="21"/>
  <c r="BT4" i="21"/>
  <c r="CN4" i="21"/>
  <c r="AZ4" i="21"/>
  <c r="DM14" i="21"/>
  <c r="CS14" i="21"/>
  <c r="BY14" i="21"/>
  <c r="BE14" i="21"/>
  <c r="DC14" i="21"/>
  <c r="CI14" i="21"/>
  <c r="BO14" i="21"/>
  <c r="DH14" i="21"/>
  <c r="AF14" i="21"/>
  <c r="CX14" i="21"/>
  <c r="BJ14" i="21"/>
  <c r="AZ14" i="21"/>
  <c r="CD14" i="21"/>
  <c r="AP14" i="21"/>
  <c r="DM16" i="21"/>
  <c r="CS16" i="21"/>
  <c r="BY16" i="21"/>
  <c r="BE16" i="21"/>
  <c r="AK16" i="21"/>
  <c r="DW16" i="21"/>
  <c r="DC16" i="21"/>
  <c r="CI16" i="21"/>
  <c r="BO16" i="21"/>
  <c r="AU16" i="21"/>
  <c r="CN16" i="21"/>
  <c r="AZ16" i="21"/>
  <c r="DR16" i="21"/>
  <c r="CD16" i="21"/>
  <c r="AP16" i="21"/>
  <c r="DH16" i="21"/>
  <c r="BT16" i="21"/>
  <c r="AF16" i="21"/>
  <c r="CX16" i="21"/>
  <c r="BJ16" i="21"/>
  <c r="DM18" i="21"/>
  <c r="CS18" i="21"/>
  <c r="BY18" i="21"/>
  <c r="BE18" i="21"/>
  <c r="AK18" i="21"/>
  <c r="DH18" i="21"/>
  <c r="CN18" i="21"/>
  <c r="BT18" i="21"/>
  <c r="AZ18" i="21"/>
  <c r="AF18" i="21"/>
  <c r="DW18" i="21"/>
  <c r="DC18" i="21"/>
  <c r="CI18" i="21"/>
  <c r="BO18" i="21"/>
  <c r="AU18" i="21"/>
  <c r="DR18" i="21"/>
  <c r="CX18" i="21"/>
  <c r="CD18" i="21"/>
  <c r="BJ18" i="21"/>
  <c r="AP18" i="21"/>
  <c r="DM20" i="21"/>
  <c r="CS20" i="21"/>
  <c r="BY20" i="21"/>
  <c r="BE20" i="21"/>
  <c r="AK20" i="21"/>
  <c r="DH20" i="21"/>
  <c r="CN20" i="21"/>
  <c r="BT20" i="21"/>
  <c r="AZ20" i="21"/>
  <c r="AF20" i="21"/>
  <c r="DW20" i="21"/>
  <c r="DC20" i="21"/>
  <c r="CI20" i="21"/>
  <c r="BO20" i="21"/>
  <c r="AU20" i="21"/>
  <c r="DR20" i="21"/>
  <c r="CX20" i="21"/>
  <c r="CD20" i="21"/>
  <c r="BJ20" i="21"/>
  <c r="AP20" i="21"/>
  <c r="CI5" i="21"/>
  <c r="DH5" i="21"/>
  <c r="AK6" i="21"/>
  <c r="BE6" i="21"/>
  <c r="CS6" i="21"/>
  <c r="AF7" i="21"/>
  <c r="BT7" i="21"/>
  <c r="DH7" i="21"/>
  <c r="BO8" i="21"/>
  <c r="DC8" i="21"/>
  <c r="AP9" i="21"/>
  <c r="CD9" i="21"/>
  <c r="DR9" i="21"/>
  <c r="AK10" i="21"/>
  <c r="BE10" i="21"/>
  <c r="CS10" i="21"/>
  <c r="AF11" i="21"/>
  <c r="AZ11" i="21"/>
  <c r="BT11" i="21"/>
  <c r="CN11" i="21"/>
  <c r="DH11" i="21"/>
  <c r="AU12" i="21"/>
  <c r="BO12" i="21"/>
  <c r="CI12" i="21"/>
  <c r="DC12" i="21"/>
  <c r="BE2" i="21"/>
  <c r="CD5" i="21"/>
  <c r="BE5" i="21"/>
  <c r="DM5" i="21"/>
  <c r="DW3" i="21"/>
  <c r="CI3" i="21"/>
  <c r="CN3" i="21"/>
  <c r="CD3" i="21"/>
  <c r="BJ3" i="21"/>
  <c r="DW13" i="21"/>
  <c r="DC13" i="21"/>
  <c r="CI13" i="21"/>
  <c r="BO13" i="21"/>
  <c r="AU13" i="21"/>
  <c r="DM13" i="21"/>
  <c r="CS13" i="21"/>
  <c r="BY13" i="21"/>
  <c r="BE13" i="21"/>
  <c r="AK13" i="21"/>
  <c r="CX13" i="21"/>
  <c r="BJ13" i="21"/>
  <c r="AZ13" i="21"/>
  <c r="CD13" i="21"/>
  <c r="DH13" i="21"/>
  <c r="AF13" i="21"/>
  <c r="DW15" i="21"/>
  <c r="DC15" i="21"/>
  <c r="BO15" i="21"/>
  <c r="AU15" i="21"/>
  <c r="DM15" i="21"/>
  <c r="CS15" i="21"/>
  <c r="BY15" i="21"/>
  <c r="AK15" i="21"/>
  <c r="CD15" i="21"/>
  <c r="AP15" i="21"/>
  <c r="DH15" i="21"/>
  <c r="BT15" i="21"/>
  <c r="AF15" i="21"/>
  <c r="CX15" i="21"/>
  <c r="BJ15" i="21"/>
  <c r="CN15" i="21"/>
  <c r="AZ15" i="21"/>
  <c r="DW17" i="21"/>
  <c r="DC17" i="21"/>
  <c r="CI17" i="21"/>
  <c r="BO17" i="21"/>
  <c r="AU17" i="21"/>
  <c r="DR17" i="21"/>
  <c r="CX17" i="21"/>
  <c r="CD17" i="21"/>
  <c r="DM17" i="21"/>
  <c r="CS17" i="21"/>
  <c r="BY17" i="21"/>
  <c r="BE17" i="21"/>
  <c r="AK17" i="21"/>
  <c r="DH17" i="21"/>
  <c r="BJ17" i="21"/>
  <c r="AZ17" i="21"/>
  <c r="CN17" i="21"/>
  <c r="AP17" i="21"/>
  <c r="BT17" i="21"/>
  <c r="AF17" i="21"/>
  <c r="DW19" i="21"/>
  <c r="DC19" i="21"/>
  <c r="CI19" i="21"/>
  <c r="BO19" i="21"/>
  <c r="AU19" i="21"/>
  <c r="DR19" i="21"/>
  <c r="CX19" i="21"/>
  <c r="CD19" i="21"/>
  <c r="BJ19" i="21"/>
  <c r="AP19" i="21"/>
  <c r="DM19" i="21"/>
  <c r="CS19" i="21"/>
  <c r="BY19" i="21"/>
  <c r="BE19" i="21"/>
  <c r="AK19" i="21"/>
  <c r="DH19" i="21"/>
  <c r="CN19" i="21"/>
  <c r="BT19" i="21"/>
  <c r="AZ19" i="21"/>
  <c r="AF19" i="21"/>
  <c r="DW22" i="21"/>
  <c r="DC22" i="21"/>
  <c r="CI22" i="21"/>
  <c r="BO22" i="21"/>
  <c r="AU22" i="21"/>
  <c r="DR22" i="21"/>
  <c r="CX22" i="21"/>
  <c r="CD22" i="21"/>
  <c r="BJ22" i="21"/>
  <c r="AP22" i="21"/>
  <c r="DM22" i="21"/>
  <c r="CS22" i="21"/>
  <c r="BY22" i="21"/>
  <c r="BE22" i="21"/>
  <c r="AK22" i="21"/>
  <c r="DH22" i="21"/>
  <c r="CN22" i="21"/>
  <c r="BT22" i="21"/>
  <c r="AZ22" i="21"/>
  <c r="AF22" i="21"/>
  <c r="BJ5" i="21"/>
  <c r="CX5" i="21"/>
  <c r="AU6" i="21"/>
  <c r="BO6" i="21"/>
  <c r="CI6" i="21"/>
  <c r="DC6" i="21"/>
  <c r="AP7" i="21"/>
  <c r="BJ7" i="21"/>
  <c r="CD7" i="21"/>
  <c r="CX7" i="21"/>
  <c r="AK8" i="21"/>
  <c r="BE8" i="21"/>
  <c r="BY8" i="21"/>
  <c r="CS8" i="21"/>
  <c r="DM8" i="21"/>
  <c r="AF9" i="21"/>
  <c r="AZ9" i="21"/>
  <c r="BT9" i="21"/>
  <c r="CN9" i="21"/>
  <c r="DH9" i="21"/>
  <c r="AU10" i="21"/>
  <c r="BO10" i="21"/>
  <c r="CI10" i="21"/>
  <c r="DC10" i="21"/>
  <c r="AP11" i="21"/>
  <c r="BJ11" i="21"/>
  <c r="CD11" i="21"/>
  <c r="CX11" i="21"/>
  <c r="AK12" i="21"/>
  <c r="BE12" i="21"/>
  <c r="BY12" i="21"/>
  <c r="CS12" i="21"/>
  <c r="DM12" i="21"/>
  <c r="AU2" i="21"/>
  <c r="AZ5" i="21"/>
  <c r="BT5" i="21"/>
  <c r="CS5" i="21"/>
  <c r="BO5" i="21"/>
  <c r="S10" i="7"/>
  <c r="CV21" i="7"/>
  <c r="M21" i="7" s="1"/>
  <c r="CV10" i="7"/>
  <c r="DG25" i="7"/>
  <c r="DG24" i="7"/>
  <c r="T23" i="7"/>
  <c r="CQ9" i="7"/>
  <c r="DG9" i="7"/>
  <c r="X9" i="7" s="1"/>
  <c r="DG21" i="7"/>
  <c r="CZ21" i="7"/>
  <c r="Q21" i="7" s="1"/>
  <c r="DG20" i="7"/>
  <c r="CZ20" i="7"/>
  <c r="T24" i="7"/>
  <c r="CO26" i="7"/>
  <c r="F16" i="7" s="1"/>
  <c r="CO19" i="7"/>
  <c r="CO16" i="7"/>
  <c r="F20" i="7" s="1"/>
  <c r="CO13" i="7"/>
  <c r="CO18" i="7"/>
  <c r="F24" i="7" s="1"/>
  <c r="CO11" i="7"/>
  <c r="F13" i="7" s="1"/>
  <c r="CO27" i="7"/>
  <c r="CO24" i="7"/>
  <c r="F26" i="7" s="1"/>
  <c r="CO9" i="7"/>
  <c r="CO25" i="7"/>
  <c r="CV17" i="7"/>
  <c r="CV27" i="7"/>
  <c r="CV24" i="7"/>
  <c r="M26" i="7" s="1"/>
  <c r="CV14" i="7"/>
  <c r="M14" i="7" s="1"/>
  <c r="CV25" i="7"/>
  <c r="CX9" i="7"/>
  <c r="DG28" i="7"/>
  <c r="X27" i="7" s="1"/>
  <c r="CQ28" i="7"/>
  <c r="DG27" i="7"/>
  <c r="CQ27" i="7"/>
  <c r="DG26" i="7"/>
  <c r="X16" i="7" s="1"/>
  <c r="T26" i="7"/>
  <c r="CT24" i="7"/>
  <c r="DG23" i="7"/>
  <c r="CZ23" i="7"/>
  <c r="DG22" i="7"/>
  <c r="CZ22" i="7"/>
  <c r="T22" i="7"/>
  <c r="CT20" i="7"/>
  <c r="DG19" i="7"/>
  <c r="CZ19" i="7"/>
  <c r="DG18" i="7"/>
  <c r="X24" i="7" s="1"/>
  <c r="CZ18" i="7"/>
  <c r="Q24" i="7" s="1"/>
  <c r="DG14" i="7"/>
  <c r="X14" i="7" s="1"/>
  <c r="DG12" i="7"/>
  <c r="X12" i="7"/>
  <c r="DG11" i="7"/>
  <c r="DD10" i="7"/>
  <c r="U10" i="7"/>
  <c r="DD12" i="7"/>
  <c r="U12" i="7"/>
  <c r="DD15" i="7"/>
  <c r="DD16" i="7"/>
  <c r="DD17" i="7"/>
  <c r="DD18" i="7"/>
  <c r="U24" i="7"/>
  <c r="DD19" i="7"/>
  <c r="DD20" i="7"/>
  <c r="DD21" i="7"/>
  <c r="CF21" i="7" s="1"/>
  <c r="U15" i="8" s="1"/>
  <c r="DD22" i="7"/>
  <c r="U23" i="7"/>
  <c r="DD23" i="7"/>
  <c r="DD24" i="7"/>
  <c r="DD25" i="7"/>
  <c r="U18" i="7" s="1"/>
  <c r="CX13" i="7"/>
  <c r="CV15" i="7"/>
  <c r="M17" i="7" s="1"/>
  <c r="CV19" i="7"/>
  <c r="CV23" i="7"/>
  <c r="CV9" i="7"/>
  <c r="M9" i="7" s="1"/>
  <c r="CV20" i="7"/>
  <c r="M22" i="7" s="1"/>
  <c r="CV28" i="7"/>
  <c r="M27" i="7" s="1"/>
  <c r="CV12" i="7"/>
  <c r="M12" i="7" s="1"/>
  <c r="CV18" i="7"/>
  <c r="M24" i="7"/>
  <c r="CV26" i="7"/>
  <c r="M16" i="7" s="1"/>
  <c r="E26" i="7"/>
  <c r="F10" i="7"/>
  <c r="DD28" i="7"/>
  <c r="U27" i="7" s="1"/>
  <c r="DD27" i="7"/>
  <c r="U28" i="7" s="1"/>
  <c r="DD26" i="7"/>
  <c r="U16" i="7" s="1"/>
  <c r="X23" i="7"/>
  <c r="X22" i="7"/>
  <c r="T20" i="7"/>
  <c r="DD14" i="7"/>
  <c r="R14" i="7"/>
  <c r="DD13" i="7"/>
  <c r="T12" i="7"/>
  <c r="DD11" i="7"/>
  <c r="DE10" i="7"/>
  <c r="V10" i="7" s="1"/>
  <c r="DE13" i="7"/>
  <c r="V11" i="7" s="1"/>
  <c r="DE26" i="7"/>
  <c r="V16" i="7" s="1"/>
  <c r="DE27" i="7"/>
  <c r="V28" i="7" s="1"/>
  <c r="DE28" i="7"/>
  <c r="DA10" i="7"/>
  <c r="R10" i="7" s="1"/>
  <c r="DA11" i="7"/>
  <c r="R13" i="7" s="1"/>
  <c r="DA12" i="7"/>
  <c r="R12" i="7"/>
  <c r="DA16" i="7"/>
  <c r="R20" i="7" s="1"/>
  <c r="DA17" i="7"/>
  <c r="R25" i="7" s="1"/>
  <c r="DA18" i="7"/>
  <c r="DA19" i="7"/>
  <c r="R15" i="7" s="1"/>
  <c r="DA20" i="7"/>
  <c r="R22" i="7"/>
  <c r="DA21" i="7"/>
  <c r="DA22" i="7"/>
  <c r="DA23" i="7"/>
  <c r="DA24" i="7"/>
  <c r="R26" i="7" s="1"/>
  <c r="DA25" i="7"/>
  <c r="T27" i="7"/>
  <c r="T16" i="7"/>
  <c r="X10" i="7"/>
  <c r="N10" i="7"/>
  <c r="I14" i="7"/>
  <c r="CN11" i="7"/>
  <c r="E13" i="7" s="1"/>
  <c r="CY22" i="7"/>
  <c r="DB21" i="7"/>
  <c r="DB28" i="7"/>
  <c r="S27" i="7" s="1"/>
  <c r="DB27" i="7"/>
  <c r="DB26" i="7"/>
  <c r="S16" i="7"/>
  <c r="DB19" i="7"/>
  <c r="DB14" i="7"/>
  <c r="S14" i="7" s="1"/>
  <c r="DC11" i="7"/>
  <c r="CE11" i="7" s="1"/>
  <c r="T10" i="8" s="1"/>
  <c r="DE21" i="7"/>
  <c r="V21" i="7" s="1"/>
  <c r="DE24" i="7"/>
  <c r="V26" i="7" s="1"/>
  <c r="X21" i="7"/>
  <c r="CI21" i="7"/>
  <c r="X19" i="7"/>
  <c r="DG15" i="7"/>
  <c r="DG13" i="7"/>
  <c r="X11" i="8" s="1"/>
  <c r="CI9" i="7"/>
  <c r="X9" i="8" s="1"/>
  <c r="X18" i="7"/>
  <c r="DF15" i="7"/>
  <c r="W17" i="7" s="1"/>
  <c r="DF9" i="7"/>
  <c r="DF25" i="7"/>
  <c r="DF12" i="7"/>
  <c r="W12" i="7" s="1"/>
  <c r="DF28" i="7"/>
  <c r="W27" i="7" s="1"/>
  <c r="DF22" i="7"/>
  <c r="W23" i="7" s="1"/>
  <c r="DF19" i="7"/>
  <c r="DF17" i="7"/>
  <c r="CH17" i="7" s="1"/>
  <c r="DF10" i="7"/>
  <c r="W10" i="7" s="1"/>
  <c r="DF16" i="7"/>
  <c r="W20" i="7" s="1"/>
  <c r="DF13" i="7"/>
  <c r="DF20" i="7"/>
  <c r="W22" i="7" s="1"/>
  <c r="DF23" i="7"/>
  <c r="DF14" i="7"/>
  <c r="W14" i="7"/>
  <c r="DF21" i="7"/>
  <c r="DF27" i="7"/>
  <c r="W28" i="7" s="1"/>
  <c r="DF18" i="7"/>
  <c r="W24" i="7"/>
  <c r="DF24" i="7"/>
  <c r="W26" i="7"/>
  <c r="DF26" i="7"/>
  <c r="W16" i="7"/>
  <c r="DE9" i="7"/>
  <c r="CG9" i="7" s="1"/>
  <c r="V9" i="8" s="1"/>
  <c r="DE23" i="7"/>
  <c r="DE18" i="7"/>
  <c r="V24" i="7" s="1"/>
  <c r="DE22" i="7"/>
  <c r="V23" i="7" s="1"/>
  <c r="DE20" i="7"/>
  <c r="V22" i="7" s="1"/>
  <c r="DE16" i="7"/>
  <c r="V20" i="7" s="1"/>
  <c r="DE15" i="7"/>
  <c r="DE14" i="7"/>
  <c r="V14" i="7" s="1"/>
  <c r="DE12" i="7"/>
  <c r="V12" i="7" s="1"/>
  <c r="DE11" i="7"/>
  <c r="DE25" i="7"/>
  <c r="DE19" i="7"/>
  <c r="DE17" i="7"/>
  <c r="U14" i="8"/>
  <c r="U15" i="7"/>
  <c r="U11" i="7"/>
  <c r="U19" i="7"/>
  <c r="U17" i="7"/>
  <c r="U13" i="7"/>
  <c r="CF11" i="7"/>
  <c r="U10" i="8" s="1"/>
  <c r="T21" i="7"/>
  <c r="CE21" i="7"/>
  <c r="T15" i="8" s="1"/>
  <c r="T9" i="7"/>
  <c r="T19" i="7"/>
  <c r="CE23" i="7"/>
  <c r="T11" i="7"/>
  <c r="DC15" i="7"/>
  <c r="T28" i="7"/>
  <c r="CE27" i="7"/>
  <c r="T18" i="8" s="1"/>
  <c r="T18" i="7"/>
  <c r="T14" i="8"/>
  <c r="T15" i="7"/>
  <c r="CE19" i="7"/>
  <c r="T12" i="8"/>
  <c r="T25" i="7"/>
  <c r="CE17" i="7"/>
  <c r="T17" i="8" s="1"/>
  <c r="S15" i="7"/>
  <c r="DB24" i="7"/>
  <c r="S26" i="7" s="1"/>
  <c r="DB22" i="7"/>
  <c r="S23" i="7" s="1"/>
  <c r="DB17" i="7"/>
  <c r="DB16" i="7"/>
  <c r="S20" i="7" s="1"/>
  <c r="DB12" i="7"/>
  <c r="S12" i="7" s="1"/>
  <c r="S21" i="7"/>
  <c r="DB20" i="7"/>
  <c r="S22" i="7"/>
  <c r="DB18" i="7"/>
  <c r="S24" i="7"/>
  <c r="DB15" i="7"/>
  <c r="DB13" i="7"/>
  <c r="S11" i="8" s="1"/>
  <c r="DB11" i="7"/>
  <c r="DB9" i="7"/>
  <c r="DB25" i="7"/>
  <c r="DB23" i="7"/>
  <c r="R9" i="7"/>
  <c r="CC9" i="7"/>
  <c r="R9" i="8" s="1"/>
  <c r="R18" i="7"/>
  <c r="R28" i="7"/>
  <c r="R21" i="7"/>
  <c r="CC19" i="7"/>
  <c r="R12" i="8" s="1"/>
  <c r="R17" i="7"/>
  <c r="CC15" i="7"/>
  <c r="R13" i="8" s="1"/>
  <c r="R11" i="7"/>
  <c r="R11" i="8"/>
  <c r="CC11" i="7"/>
  <c r="R10" i="8" s="1"/>
  <c r="CZ12" i="7"/>
  <c r="Q12" i="7" s="1"/>
  <c r="CY20" i="7"/>
  <c r="BX9" i="7"/>
  <c r="M9" i="8" s="1"/>
  <c r="M13" i="7"/>
  <c r="BX11" i="7"/>
  <c r="M10" i="8" s="1"/>
  <c r="M19" i="7"/>
  <c r="BX23" i="7"/>
  <c r="M16" i="8" s="1"/>
  <c r="J17" i="7"/>
  <c r="CS16" i="7"/>
  <c r="J20" i="7" s="1"/>
  <c r="CS13" i="7"/>
  <c r="BU13" i="7" s="1"/>
  <c r="J11" i="8" s="1"/>
  <c r="CQ10" i="7"/>
  <c r="H10" i="7" s="1"/>
  <c r="H28" i="7"/>
  <c r="CQ26" i="7"/>
  <c r="H16" i="7" s="1"/>
  <c r="CQ25" i="7"/>
  <c r="H18" i="7" s="1"/>
  <c r="CQ24" i="7"/>
  <c r="H26" i="7" s="1"/>
  <c r="CQ23" i="7"/>
  <c r="CQ22" i="7"/>
  <c r="CQ21" i="7"/>
  <c r="CQ20" i="7"/>
  <c r="CQ19" i="7"/>
  <c r="CQ18" i="7"/>
  <c r="CQ17" i="7"/>
  <c r="CQ16" i="7"/>
  <c r="CQ15" i="7"/>
  <c r="CQ14" i="7"/>
  <c r="CQ13" i="7"/>
  <c r="CQ12" i="7"/>
  <c r="CN27" i="7"/>
  <c r="E28" i="7" s="1"/>
  <c r="CN25" i="7"/>
  <c r="E18" i="7" s="1"/>
  <c r="CN22" i="7"/>
  <c r="E23" i="7" s="1"/>
  <c r="CO22" i="7"/>
  <c r="F23" i="7" s="1"/>
  <c r="CO15" i="7"/>
  <c r="CO12" i="7"/>
  <c r="F12" i="7" s="1"/>
  <c r="CO28" i="7"/>
  <c r="F27" i="7" s="1"/>
  <c r="F15" i="7"/>
  <c r="F11" i="7"/>
  <c r="F18" i="7"/>
  <c r="CO14" i="7"/>
  <c r="CO17" i="7"/>
  <c r="F25" i="7" s="1"/>
  <c r="CO23" i="7"/>
  <c r="CO20" i="7"/>
  <c r="F22" i="7" s="1"/>
  <c r="CO21" i="7"/>
  <c r="F21" i="7" s="1"/>
  <c r="F28" i="7"/>
  <c r="F9" i="7"/>
  <c r="BQ9" i="7"/>
  <c r="F9" i="8" s="1"/>
  <c r="CN28" i="7"/>
  <c r="E27" i="7" s="1"/>
  <c r="CN18" i="7"/>
  <c r="E24" i="7" s="1"/>
  <c r="CN20" i="7"/>
  <c r="E22" i="7" s="1"/>
  <c r="CN9" i="7"/>
  <c r="CN23" i="7"/>
  <c r="E19" i="7" s="1"/>
  <c r="CN13" i="7"/>
  <c r="BP13" i="7" s="1"/>
  <c r="E11" i="8" s="1"/>
  <c r="CN10" i="7"/>
  <c r="CN26" i="7"/>
  <c r="E16" i="7" s="1"/>
  <c r="CN17" i="7"/>
  <c r="CN15" i="7"/>
  <c r="CN16" i="7"/>
  <c r="CN14" i="7"/>
  <c r="E14" i="7" s="1"/>
  <c r="CN12" i="7"/>
  <c r="CN21" i="7"/>
  <c r="CN19" i="7"/>
  <c r="CM12" i="7"/>
  <c r="CM20" i="7"/>
  <c r="D22" i="7" s="1"/>
  <c r="CM9" i="7"/>
  <c r="CM15" i="7"/>
  <c r="D17" i="7"/>
  <c r="CM14" i="7"/>
  <c r="D14" i="7"/>
  <c r="CM28" i="7"/>
  <c r="D27" i="7"/>
  <c r="CM17" i="7"/>
  <c r="D25" i="7"/>
  <c r="CM22" i="7"/>
  <c r="D23" i="7"/>
  <c r="CM11" i="7"/>
  <c r="D13" i="7"/>
  <c r="CM19" i="7"/>
  <c r="D15" i="7"/>
  <c r="X15" i="8"/>
  <c r="T16" i="8"/>
  <c r="CM18" i="7"/>
  <c r="D24" i="7" s="1"/>
  <c r="CM26" i="7"/>
  <c r="D16" i="7" s="1"/>
  <c r="CM16" i="7"/>
  <c r="D20" i="7" s="1"/>
  <c r="CM24" i="7"/>
  <c r="D26" i="7" s="1"/>
  <c r="CM13" i="7"/>
  <c r="D11" i="7" s="1"/>
  <c r="CM21" i="7"/>
  <c r="BO21" i="7" s="1"/>
  <c r="D15" i="8" s="1"/>
  <c r="CM27" i="7"/>
  <c r="CM23" i="7"/>
  <c r="CM25" i="7"/>
  <c r="CD21" i="7"/>
  <c r="S15" i="8"/>
  <c r="X11" i="7"/>
  <c r="X17" i="7"/>
  <c r="W9" i="7"/>
  <c r="CH9" i="7"/>
  <c r="W9" i="8" s="1"/>
  <c r="W19" i="7"/>
  <c r="CH23" i="7"/>
  <c r="W16" i="8" s="1"/>
  <c r="CH15" i="7"/>
  <c r="W13" i="8" s="1"/>
  <c r="W25" i="7"/>
  <c r="W17" i="8"/>
  <c r="CH11" i="7"/>
  <c r="W10" i="8"/>
  <c r="W21" i="7"/>
  <c r="CH21" i="7"/>
  <c r="W15" i="8" s="1"/>
  <c r="W11" i="7"/>
  <c r="W11" i="8"/>
  <c r="W15" i="7"/>
  <c r="CH19" i="7"/>
  <c r="W12" i="8" s="1"/>
  <c r="W18" i="7"/>
  <c r="V25" i="7"/>
  <c r="CG17" i="7"/>
  <c r="V17" i="8" s="1"/>
  <c r="V13" i="7"/>
  <c r="CG11" i="7"/>
  <c r="V10" i="8"/>
  <c r="V19" i="7"/>
  <c r="CG23" i="7"/>
  <c r="V16" i="8" s="1"/>
  <c r="V15" i="7"/>
  <c r="CG19" i="7"/>
  <c r="V12" i="8" s="1"/>
  <c r="V9" i="7"/>
  <c r="V18" i="7"/>
  <c r="V14" i="8"/>
  <c r="CG21" i="7"/>
  <c r="V15" i="8"/>
  <c r="V17" i="7"/>
  <c r="CG15" i="7"/>
  <c r="V13" i="8" s="1"/>
  <c r="T17" i="7"/>
  <c r="CE15" i="7"/>
  <c r="T13" i="8"/>
  <c r="S9" i="7"/>
  <c r="CD9" i="7"/>
  <c r="S9" i="8" s="1"/>
  <c r="S17" i="7"/>
  <c r="CD15" i="7"/>
  <c r="S13" i="8"/>
  <c r="S25" i="7"/>
  <c r="CD17" i="7"/>
  <c r="S17" i="8" s="1"/>
  <c r="S19" i="7"/>
  <c r="CD23" i="7"/>
  <c r="S16" i="8" s="1"/>
  <c r="S13" i="7"/>
  <c r="CD11" i="7"/>
  <c r="S10" i="8" s="1"/>
  <c r="CD19" i="7"/>
  <c r="S12" i="8" s="1"/>
  <c r="S18" i="7"/>
  <c r="S14" i="8"/>
  <c r="S11" i="7"/>
  <c r="H15" i="7"/>
  <c r="H19" i="7"/>
  <c r="H11" i="7"/>
  <c r="H21" i="7"/>
  <c r="BQ17" i="7"/>
  <c r="F17" i="8" s="1"/>
  <c r="BQ19" i="7"/>
  <c r="F12" i="8" s="1"/>
  <c r="F17" i="7"/>
  <c r="BQ15" i="7"/>
  <c r="F13" i="8"/>
  <c r="BQ13" i="7"/>
  <c r="F11" i="8" s="1"/>
  <c r="F19" i="7"/>
  <c r="BQ23" i="7"/>
  <c r="F16" i="8"/>
  <c r="E21" i="7"/>
  <c r="BP21" i="7"/>
  <c r="E15" i="8" s="1"/>
  <c r="E17" i="7"/>
  <c r="BP23" i="7"/>
  <c r="E16" i="8" s="1"/>
  <c r="E25" i="7"/>
  <c r="E9" i="7"/>
  <c r="BP9" i="7"/>
  <c r="E9" i="8" s="1"/>
  <c r="E15" i="7"/>
  <c r="BP19" i="7"/>
  <c r="E12" i="8" s="1"/>
  <c r="E11" i="7"/>
  <c r="BO19" i="7"/>
  <c r="D12" i="8"/>
  <c r="BO13" i="7"/>
  <c r="D11" i="8" s="1"/>
  <c r="BO17" i="7"/>
  <c r="D17" i="8" s="1"/>
  <c r="BO23" i="7"/>
  <c r="BO15" i="7"/>
  <c r="D13" i="8" s="1"/>
  <c r="Q15" i="7" l="1"/>
  <c r="Q10" i="7"/>
  <c r="CZ14" i="7"/>
  <c r="Q14" i="7" s="1"/>
  <c r="CZ27" i="7"/>
  <c r="CZ17" i="7"/>
  <c r="Q25" i="7" s="1"/>
  <c r="CZ13" i="7"/>
  <c r="Q11" i="7" s="1"/>
  <c r="CZ24" i="7"/>
  <c r="Q26" i="7" s="1"/>
  <c r="CZ25" i="7"/>
  <c r="Q18" i="7" s="1"/>
  <c r="CZ26" i="7"/>
  <c r="Q16" i="7" s="1"/>
  <c r="CZ28" i="7"/>
  <c r="CB27" i="7" s="1"/>
  <c r="Q18" i="8" s="1"/>
  <c r="CB21" i="7"/>
  <c r="Q15" i="8" s="1"/>
  <c r="Q28" i="7"/>
  <c r="CB17" i="7"/>
  <c r="Q17" i="8" s="1"/>
  <c r="Q23" i="7"/>
  <c r="P22" i="7"/>
  <c r="CY12" i="7"/>
  <c r="CY25" i="7"/>
  <c r="P18" i="7" s="1"/>
  <c r="CY23" i="7"/>
  <c r="CY18" i="7"/>
  <c r="CY17" i="7"/>
  <c r="P25" i="7" s="1"/>
  <c r="CY13" i="7"/>
  <c r="P11" i="7" s="1"/>
  <c r="CY16" i="7"/>
  <c r="P20" i="7" s="1"/>
  <c r="CY28" i="7"/>
  <c r="P27" i="7" s="1"/>
  <c r="P10" i="7"/>
  <c r="P24" i="7"/>
  <c r="P23" i="7"/>
  <c r="CY15" i="7"/>
  <c r="P17" i="7" s="1"/>
  <c r="CY21" i="7"/>
  <c r="P21" i="7" s="1"/>
  <c r="CY11" i="7"/>
  <c r="P13" i="7" s="1"/>
  <c r="CY14" i="7"/>
  <c r="P14" i="7" s="1"/>
  <c r="CY24" i="7"/>
  <c r="P26" i="7" s="1"/>
  <c r="CY19" i="7"/>
  <c r="P15" i="7" s="1"/>
  <c r="CY9" i="7"/>
  <c r="P9" i="7" s="1"/>
  <c r="CY27" i="7"/>
  <c r="P28" i="7" s="1"/>
  <c r="CA9" i="7"/>
  <c r="P9" i="8" s="1"/>
  <c r="P19" i="7"/>
  <c r="CY26" i="7"/>
  <c r="P16" i="7" s="1"/>
  <c r="P12" i="7"/>
  <c r="E23" i="10"/>
  <c r="CX22" i="7"/>
  <c r="O12" i="7"/>
  <c r="CX25" i="7"/>
  <c r="O18" i="7" s="1"/>
  <c r="CX18" i="7"/>
  <c r="O24" i="7" s="1"/>
  <c r="CX27" i="7"/>
  <c r="O28" i="7" s="1"/>
  <c r="CX23" i="7"/>
  <c r="O19" i="7" s="1"/>
  <c r="CX20" i="7"/>
  <c r="O22" i="7" s="1"/>
  <c r="CX16" i="7"/>
  <c r="O20" i="7" s="1"/>
  <c r="CX10" i="7"/>
  <c r="O10" i="7" s="1"/>
  <c r="O23" i="7"/>
  <c r="O9" i="7"/>
  <c r="CX28" i="7"/>
  <c r="CX26" i="7"/>
  <c r="O16" i="7" s="1"/>
  <c r="CX24" i="7"/>
  <c r="CX21" i="7"/>
  <c r="CX19" i="7"/>
  <c r="CX14" i="7"/>
  <c r="O14" i="7" s="1"/>
  <c r="CX11" i="7"/>
  <c r="O13" i="7" s="1"/>
  <c r="CX15" i="7"/>
  <c r="CW14" i="7"/>
  <c r="N14" i="7" s="1"/>
  <c r="CW11" i="7"/>
  <c r="CW9" i="7"/>
  <c r="CW28" i="7"/>
  <c r="N27" i="7" s="1"/>
  <c r="CW17" i="7"/>
  <c r="N25" i="7" s="1"/>
  <c r="CW16" i="7"/>
  <c r="N20" i="7" s="1"/>
  <c r="CW15" i="7"/>
  <c r="CW13" i="7"/>
  <c r="CW12" i="7"/>
  <c r="N12" i="7" s="1"/>
  <c r="M10" i="7"/>
  <c r="BX19" i="7"/>
  <c r="M12" i="8" s="1"/>
  <c r="M18" i="7"/>
  <c r="BX17" i="7"/>
  <c r="M17" i="8" s="1"/>
  <c r="BX27" i="7"/>
  <c r="M18" i="8" s="1"/>
  <c r="M15" i="7"/>
  <c r="M28" i="7"/>
  <c r="CV13" i="7"/>
  <c r="CV22" i="7"/>
  <c r="M23" i="7" s="1"/>
  <c r="BX25" i="7"/>
  <c r="M14" i="8" s="1"/>
  <c r="U9" i="7"/>
  <c r="CF9" i="7"/>
  <c r="U9" i="8" s="1"/>
  <c r="T11" i="8"/>
  <c r="T14" i="7"/>
  <c r="D21" i="7"/>
  <c r="AF5" i="21"/>
  <c r="J24" i="7"/>
  <c r="DC10" i="7"/>
  <c r="U21" i="7"/>
  <c r="D10" i="7"/>
  <c r="BP25" i="7"/>
  <c r="E14" i="8" s="1"/>
  <c r="BQ21" i="7"/>
  <c r="F15" i="8" s="1"/>
  <c r="T13" i="7"/>
  <c r="CF27" i="7"/>
  <c r="U18" i="8" s="1"/>
  <c r="CI11" i="7"/>
  <c r="X10" i="8" s="1"/>
  <c r="W13" i="7"/>
  <c r="BQ27" i="7"/>
  <c r="F18" i="8" s="1"/>
  <c r="CH27" i="7"/>
  <c r="W18" i="8" s="1"/>
  <c r="BS27" i="7"/>
  <c r="H18" i="8" s="1"/>
  <c r="J14" i="7"/>
  <c r="W14" i="8"/>
  <c r="G15" i="25"/>
  <c r="L19" i="7"/>
  <c r="CU11" i="7"/>
  <c r="L13" i="7" s="1"/>
  <c r="L15" i="7"/>
  <c r="L28" i="7"/>
  <c r="CU12" i="7"/>
  <c r="CU10" i="7"/>
  <c r="L10" i="7" s="1"/>
  <c r="BL10" i="7"/>
  <c r="AU33" i="7" s="1"/>
  <c r="BW19" i="7"/>
  <c r="L12" i="8" s="1"/>
  <c r="L17" i="7"/>
  <c r="L14" i="7"/>
  <c r="CU17" i="7"/>
  <c r="L25" i="7" s="1"/>
  <c r="BW23" i="7"/>
  <c r="L16" i="8" s="1"/>
  <c r="CU9" i="7"/>
  <c r="CU28" i="7"/>
  <c r="L27" i="7" s="1"/>
  <c r="CU26" i="7"/>
  <c r="L16" i="7" s="1"/>
  <c r="CU25" i="7"/>
  <c r="CU22" i="7"/>
  <c r="L23" i="7" s="1"/>
  <c r="CU21" i="7"/>
  <c r="CU18" i="7"/>
  <c r="L24" i="7" s="1"/>
  <c r="CU16" i="7"/>
  <c r="BW15" i="7" s="1"/>
  <c r="L13" i="8" s="1"/>
  <c r="CU13" i="7"/>
  <c r="L11" i="7" s="1"/>
  <c r="BW27" i="7"/>
  <c r="L18" i="8" s="1"/>
  <c r="G25" i="25"/>
  <c r="F30" i="30"/>
  <c r="E31" i="30" s="1"/>
  <c r="G18" i="25"/>
  <c r="G31" i="25"/>
  <c r="G17" i="25"/>
  <c r="G14" i="25"/>
  <c r="CT16" i="7"/>
  <c r="CT9" i="7"/>
  <c r="K9" i="7" s="1"/>
  <c r="CT27" i="7"/>
  <c r="K28" i="7"/>
  <c r="K20" i="7"/>
  <c r="K22" i="7"/>
  <c r="CT10" i="7"/>
  <c r="K10" i="7" s="1"/>
  <c r="CT19" i="7"/>
  <c r="CT21" i="7"/>
  <c r="K21" i="7" s="1"/>
  <c r="CT23" i="7"/>
  <c r="K19" i="7" s="1"/>
  <c r="CT25" i="7"/>
  <c r="K18" i="7" s="1"/>
  <c r="CT11" i="7"/>
  <c r="K13" i="7" s="1"/>
  <c r="K11" i="7"/>
  <c r="CT28" i="7"/>
  <c r="K27" i="7" s="1"/>
  <c r="CT15" i="7"/>
  <c r="CT12" i="7"/>
  <c r="K12" i="7" s="1"/>
  <c r="CT22" i="7"/>
  <c r="K23" i="7" s="1"/>
  <c r="CT26" i="7"/>
  <c r="K16" i="7" s="1"/>
  <c r="CT18" i="7"/>
  <c r="K24" i="7" s="1"/>
  <c r="CT17" i="7"/>
  <c r="CT14" i="7"/>
  <c r="K14" i="7" s="1"/>
  <c r="J11" i="7"/>
  <c r="BU17" i="7"/>
  <c r="J17" i="8" s="1"/>
  <c r="BL13" i="7"/>
  <c r="AU36" i="7" s="1"/>
  <c r="BL15" i="7"/>
  <c r="AU38" i="7" s="1"/>
  <c r="BL17" i="7"/>
  <c r="AU40" i="7" s="1"/>
  <c r="BL19" i="7"/>
  <c r="AU42" i="7" s="1"/>
  <c r="BL21" i="7"/>
  <c r="AU44" i="7" s="1"/>
  <c r="BL23" i="7"/>
  <c r="AU46" i="7" s="1"/>
  <c r="BL25" i="7"/>
  <c r="AU48" i="7" s="1"/>
  <c r="BL27" i="7"/>
  <c r="AU50" i="7" s="1"/>
  <c r="J10" i="7"/>
  <c r="BU15" i="7"/>
  <c r="J13" i="8" s="1"/>
  <c r="BL11" i="7"/>
  <c r="AU34" i="7" s="1"/>
  <c r="CS9" i="7"/>
  <c r="CS28" i="7"/>
  <c r="J27" i="7" s="1"/>
  <c r="CS27" i="7"/>
  <c r="CS26" i="7"/>
  <c r="CS24" i="7"/>
  <c r="CS22" i="7"/>
  <c r="CS20" i="7"/>
  <c r="CS12" i="7"/>
  <c r="J12" i="7" s="1"/>
  <c r="CS11" i="7"/>
  <c r="G23" i="6"/>
  <c r="S23" i="6" s="1"/>
  <c r="I40" i="30"/>
  <c r="H41" i="30" s="1"/>
  <c r="K25" i="30"/>
  <c r="I16" i="30"/>
  <c r="H17" i="30" s="1"/>
  <c r="F27" i="30"/>
  <c r="E28" i="30" s="1"/>
  <c r="K40" i="30"/>
  <c r="K19" i="30"/>
  <c r="F12" i="30"/>
  <c r="E13" i="30" s="1"/>
  <c r="I25" i="30"/>
  <c r="H26" i="30" s="1"/>
  <c r="E13" i="6"/>
  <c r="G29" i="6"/>
  <c r="R29" i="6" s="1"/>
  <c r="F33" i="30"/>
  <c r="E34" i="30" s="1"/>
  <c r="I34" i="30"/>
  <c r="H35" i="30" s="1"/>
  <c r="I22" i="30"/>
  <c r="H23" i="30" s="1"/>
  <c r="K37" i="30"/>
  <c r="K31" i="30"/>
  <c r="C27" i="30"/>
  <c r="C12" i="30"/>
  <c r="K22" i="30"/>
  <c r="K28" i="30"/>
  <c r="I37" i="30"/>
  <c r="H38" i="30" s="1"/>
  <c r="G28" i="6"/>
  <c r="R28" i="6" s="1"/>
  <c r="D21" i="6"/>
  <c r="F21" i="6" s="1"/>
  <c r="D31" i="6"/>
  <c r="F31" i="6" s="1"/>
  <c r="D17" i="6"/>
  <c r="F17" i="6" s="1"/>
  <c r="F24" i="10"/>
  <c r="F22" i="10"/>
  <c r="G20" i="6"/>
  <c r="T20" i="6" s="1"/>
  <c r="G19" i="6"/>
  <c r="S19" i="6" s="1"/>
  <c r="D28" i="6"/>
  <c r="F28" i="6" s="1"/>
  <c r="E30" i="6"/>
  <c r="D19" i="6"/>
  <c r="J19" i="6" s="1"/>
  <c r="V19" i="6" s="1"/>
  <c r="M19" i="6" s="1"/>
  <c r="D35" i="6"/>
  <c r="F35" i="6" s="1"/>
  <c r="E21" i="6"/>
  <c r="G26" i="6"/>
  <c r="U26" i="6" s="1"/>
  <c r="E24" i="6"/>
  <c r="K13" i="30"/>
  <c r="I13" i="30"/>
  <c r="H14" i="30" s="1"/>
  <c r="F15" i="30"/>
  <c r="E16" i="30" s="1"/>
  <c r="C33" i="30"/>
  <c r="I19" i="30"/>
  <c r="H20" i="30" s="1"/>
  <c r="K16" i="30"/>
  <c r="I28" i="30"/>
  <c r="H29" i="30" s="1"/>
  <c r="K34" i="30"/>
  <c r="F36" i="30"/>
  <c r="E37" i="30" s="1"/>
  <c r="F21" i="30"/>
  <c r="E22" i="30" s="1"/>
  <c r="C24" i="30"/>
  <c r="C18" i="30"/>
  <c r="C21" i="30"/>
  <c r="F24" i="30"/>
  <c r="E25" i="30" s="1"/>
  <c r="I31" i="30"/>
  <c r="H32" i="30" s="1"/>
  <c r="F39" i="30"/>
  <c r="E40" i="30" s="1"/>
  <c r="C30" i="30"/>
  <c r="C15" i="30"/>
  <c r="F18" i="30"/>
  <c r="E19" i="30" s="1"/>
  <c r="C36" i="30"/>
  <c r="BL14" i="7"/>
  <c r="AU37" i="7" s="1"/>
  <c r="CR27" i="7"/>
  <c r="I28" i="7" s="1"/>
  <c r="CR16" i="7"/>
  <c r="I20" i="7" s="1"/>
  <c r="CR13" i="7"/>
  <c r="CR26" i="7"/>
  <c r="I16" i="7" s="1"/>
  <c r="CR25" i="7"/>
  <c r="CR24" i="7"/>
  <c r="I26" i="7" s="1"/>
  <c r="CR23" i="7"/>
  <c r="CR22" i="7"/>
  <c r="I23" i="7" s="1"/>
  <c r="CR21" i="7"/>
  <c r="CR20" i="7"/>
  <c r="I22" i="7" s="1"/>
  <c r="CR19" i="7"/>
  <c r="CR10" i="7"/>
  <c r="I10" i="7" s="1"/>
  <c r="F23" i="29"/>
  <c r="G23" i="29" s="1"/>
  <c r="E24" i="10"/>
  <c r="F23" i="10"/>
  <c r="E22" i="10"/>
  <c r="G19" i="25"/>
  <c r="G12" i="25"/>
  <c r="G20" i="25"/>
  <c r="G29" i="25"/>
  <c r="G27" i="25"/>
  <c r="F14" i="29"/>
  <c r="G14" i="29" s="1"/>
  <c r="H9" i="7"/>
  <c r="H23" i="7"/>
  <c r="BS25" i="7"/>
  <c r="H14" i="8" s="1"/>
  <c r="BS13" i="7"/>
  <c r="H11" i="8" s="1"/>
  <c r="BS11" i="7"/>
  <c r="H10" i="8" s="1"/>
  <c r="H12" i="7"/>
  <c r="H14" i="7"/>
  <c r="BS15" i="7"/>
  <c r="H13" i="8" s="1"/>
  <c r="BS17" i="7"/>
  <c r="H17" i="8" s="1"/>
  <c r="BS9" i="7"/>
  <c r="H9" i="8" s="1"/>
  <c r="BS21" i="7"/>
  <c r="H15" i="8" s="1"/>
  <c r="H25" i="7"/>
  <c r="H17" i="7"/>
  <c r="H20" i="7"/>
  <c r="H24" i="7"/>
  <c r="H22" i="7"/>
  <c r="BS23" i="7"/>
  <c r="H16" i="8" s="1"/>
  <c r="H27" i="7"/>
  <c r="BL9" i="7"/>
  <c r="AU32" i="7" s="1"/>
  <c r="BL12" i="7"/>
  <c r="AU35" i="7" s="1"/>
  <c r="BL16" i="7"/>
  <c r="AU39" i="7" s="1"/>
  <c r="BL18" i="7"/>
  <c r="AU41" i="7" s="1"/>
  <c r="BL20" i="7"/>
  <c r="AU43" i="7" s="1"/>
  <c r="BL22" i="7"/>
  <c r="AU45" i="7" s="1"/>
  <c r="BL24" i="7"/>
  <c r="AU47" i="7" s="1"/>
  <c r="BL26" i="7"/>
  <c r="AU49" i="7" s="1"/>
  <c r="BL28" i="7"/>
  <c r="AU51" i="7" s="1"/>
  <c r="BS19" i="7"/>
  <c r="H12" i="8" s="1"/>
  <c r="G25" i="7"/>
  <c r="G10" i="7"/>
  <c r="G13" i="7"/>
  <c r="G12" i="7"/>
  <c r="BR11" i="7"/>
  <c r="G10" i="8" s="1"/>
  <c r="CP28" i="7"/>
  <c r="G27" i="7" s="1"/>
  <c r="CP9" i="7"/>
  <c r="CP18" i="7"/>
  <c r="G24" i="7" s="1"/>
  <c r="CP15" i="7"/>
  <c r="G17" i="7" s="1"/>
  <c r="CP13" i="7"/>
  <c r="H30" i="29"/>
  <c r="I30" i="29" s="1"/>
  <c r="O30" i="29" s="1"/>
  <c r="H22" i="29"/>
  <c r="F29" i="29"/>
  <c r="G29" i="29" s="1"/>
  <c r="H28" i="29"/>
  <c r="I28" i="29" s="1"/>
  <c r="O28" i="29" s="1"/>
  <c r="H24" i="29"/>
  <c r="F20" i="29"/>
  <c r="G20" i="29" s="1"/>
  <c r="F27" i="29"/>
  <c r="G27" i="29" s="1"/>
  <c r="H15" i="29"/>
  <c r="H14" i="29"/>
  <c r="H21" i="29"/>
  <c r="F15" i="29"/>
  <c r="G15" i="29" s="1"/>
  <c r="F30" i="29"/>
  <c r="G30" i="29" s="1"/>
  <c r="F17" i="29"/>
  <c r="G17" i="29" s="1"/>
  <c r="H17" i="29"/>
  <c r="F13" i="29"/>
  <c r="G13" i="29" s="1"/>
  <c r="H26" i="29"/>
  <c r="F16" i="29"/>
  <c r="G16" i="29" s="1"/>
  <c r="H19" i="29"/>
  <c r="B5" i="25"/>
  <c r="G26" i="25"/>
  <c r="G28" i="25"/>
  <c r="G21" i="25"/>
  <c r="G22" i="25"/>
  <c r="G24" i="25"/>
  <c r="C9" i="25"/>
  <c r="G13" i="25"/>
  <c r="A9" i="25"/>
  <c r="G30" i="25"/>
  <c r="G23" i="25"/>
  <c r="C9" i="30"/>
  <c r="F31" i="29"/>
  <c r="G31" i="29" s="1"/>
  <c r="F18" i="29"/>
  <c r="G18" i="29" s="1"/>
  <c r="H29" i="29"/>
  <c r="I29" i="29" s="1"/>
  <c r="O29" i="29" s="1"/>
  <c r="F19" i="29"/>
  <c r="G19" i="29" s="1"/>
  <c r="H23" i="29"/>
  <c r="H31" i="29"/>
  <c r="I31" i="29" s="1"/>
  <c r="O31" i="29" s="1"/>
  <c r="H20" i="29"/>
  <c r="H16" i="29"/>
  <c r="H12" i="29"/>
  <c r="F12" i="29"/>
  <c r="G12" i="29" s="1"/>
  <c r="H25" i="29"/>
  <c r="F28" i="29"/>
  <c r="G28" i="29" s="1"/>
  <c r="H27" i="29"/>
  <c r="I27" i="29" s="1"/>
  <c r="O27" i="29" s="1"/>
  <c r="H13" i="29"/>
  <c r="F25" i="29"/>
  <c r="G25" i="29" s="1"/>
  <c r="F24" i="29"/>
  <c r="G24" i="29" s="1"/>
  <c r="F26" i="29"/>
  <c r="G26" i="29" s="1"/>
  <c r="F21" i="29"/>
  <c r="G21" i="29" s="1"/>
  <c r="F22" i="29"/>
  <c r="G22" i="29" s="1"/>
  <c r="A9" i="28"/>
  <c r="A6" i="28"/>
  <c r="F19" i="28" s="1"/>
  <c r="G19" i="28" s="1"/>
  <c r="D16" i="8"/>
  <c r="D19" i="7"/>
  <c r="D18" i="7"/>
  <c r="BO25" i="7"/>
  <c r="D28" i="7"/>
  <c r="BO27" i="7"/>
  <c r="D9" i="7"/>
  <c r="BO9" i="7"/>
  <c r="D12" i="7"/>
  <c r="BO11" i="7"/>
  <c r="E12" i="7"/>
  <c r="BP11" i="7"/>
  <c r="E10" i="8" s="1"/>
  <c r="E20" i="7"/>
  <c r="BP15" i="7"/>
  <c r="BP17" i="7"/>
  <c r="E10" i="7"/>
  <c r="F14" i="7"/>
  <c r="R19" i="7"/>
  <c r="CC23" i="7"/>
  <c r="R16" i="8" s="1"/>
  <c r="R24" i="7"/>
  <c r="CC17" i="7"/>
  <c r="R17" i="8" s="1"/>
  <c r="V27" i="7"/>
  <c r="CG27" i="7"/>
  <c r="V18" i="8" s="1"/>
  <c r="U14" i="7"/>
  <c r="U11" i="8"/>
  <c r="X15" i="7"/>
  <c r="CI19" i="7"/>
  <c r="X12" i="8" s="1"/>
  <c r="Q19" i="7"/>
  <c r="K26" i="7"/>
  <c r="X28" i="7"/>
  <c r="CI27" i="7"/>
  <c r="X18" i="8" s="1"/>
  <c r="CB19" i="7"/>
  <c r="Q12" i="8" s="1"/>
  <c r="Q22" i="7"/>
  <c r="V11" i="8"/>
  <c r="BP27" i="7"/>
  <c r="E18" i="8" s="1"/>
  <c r="BQ11" i="7"/>
  <c r="F10" i="8" s="1"/>
  <c r="BQ25" i="7"/>
  <c r="F14" i="8" s="1"/>
  <c r="X13" i="7"/>
  <c r="BV11" i="7"/>
  <c r="K10" i="8" s="1"/>
  <c r="O11" i="7"/>
  <c r="U22" i="7"/>
  <c r="CF19" i="7"/>
  <c r="U12" i="8" s="1"/>
  <c r="U25" i="7"/>
  <c r="CF17" i="7"/>
  <c r="U17" i="8" s="1"/>
  <c r="CD27" i="7"/>
  <c r="S18" i="8" s="1"/>
  <c r="S28" i="7"/>
  <c r="R23" i="7"/>
  <c r="CC21" i="7"/>
  <c r="R15" i="8" s="1"/>
  <c r="U26" i="7"/>
  <c r="CF23" i="7"/>
  <c r="U16" i="8" s="1"/>
  <c r="U20" i="7"/>
  <c r="CF15" i="7"/>
  <c r="U13" i="8" s="1"/>
  <c r="X26" i="7"/>
  <c r="CI23" i="7"/>
  <c r="X16" i="8" s="1"/>
  <c r="X14" i="8"/>
  <c r="CV16" i="7"/>
  <c r="CR9" i="7"/>
  <c r="CZ9" i="7"/>
  <c r="DA28" i="7"/>
  <c r="CR28" i="7"/>
  <c r="CW27" i="7"/>
  <c r="CP27" i="7"/>
  <c r="DA26" i="7"/>
  <c r="CW26" i="7"/>
  <c r="N16" i="7" s="1"/>
  <c r="CP26" i="7"/>
  <c r="G16" i="7" s="1"/>
  <c r="CW25" i="7"/>
  <c r="CP25" i="7"/>
  <c r="CW24" i="7"/>
  <c r="N26" i="7" s="1"/>
  <c r="CP24" i="7"/>
  <c r="CW23" i="7"/>
  <c r="CP23" i="7"/>
  <c r="CW22" i="7"/>
  <c r="N23" i="7" s="1"/>
  <c r="CP22" i="7"/>
  <c r="G23" i="7" s="1"/>
  <c r="CW21" i="7"/>
  <c r="CP21" i="7"/>
  <c r="CW20" i="7"/>
  <c r="N22" i="7" s="1"/>
  <c r="CP20" i="7"/>
  <c r="CW19" i="7"/>
  <c r="CP19" i="7"/>
  <c r="CW18" i="7"/>
  <c r="CR18" i="7"/>
  <c r="DG17" i="7"/>
  <c r="CX17" i="7"/>
  <c r="CR17" i="7"/>
  <c r="DG16" i="7"/>
  <c r="CZ16" i="7"/>
  <c r="Q20" i="7" s="1"/>
  <c r="CP16" i="7"/>
  <c r="CZ15" i="7"/>
  <c r="CR15" i="7"/>
  <c r="CP14" i="7"/>
  <c r="CR12" i="7"/>
  <c r="CZ11" i="7"/>
  <c r="CR11" i="7"/>
  <c r="C9" i="29"/>
  <c r="A9" i="29"/>
  <c r="F20" i="11"/>
  <c r="A6" i="27"/>
  <c r="H28" i="27" s="1"/>
  <c r="A9" i="27"/>
  <c r="F17" i="11"/>
  <c r="F22" i="11"/>
  <c r="F14" i="11"/>
  <c r="F16" i="11"/>
  <c r="F26" i="11"/>
  <c r="I24" i="11"/>
  <c r="F18" i="11"/>
  <c r="H24" i="11"/>
  <c r="F27" i="11"/>
  <c r="H27" i="11"/>
  <c r="B4" i="4"/>
  <c r="T21" i="6"/>
  <c r="U21" i="6"/>
  <c r="S21" i="6"/>
  <c r="R21" i="6"/>
  <c r="E27" i="6"/>
  <c r="D33" i="6"/>
  <c r="E22" i="6"/>
  <c r="G30" i="6"/>
  <c r="E12" i="6"/>
  <c r="E29" i="6"/>
  <c r="E16" i="6"/>
  <c r="C9" i="6"/>
  <c r="D30" i="6"/>
  <c r="G14" i="6"/>
  <c r="D23" i="6"/>
  <c r="D18" i="6"/>
  <c r="D13" i="6"/>
  <c r="G25" i="6"/>
  <c r="G22" i="6"/>
  <c r="D26" i="6"/>
  <c r="G13" i="6"/>
  <c r="E26" i="6"/>
  <c r="D27" i="6"/>
  <c r="O33" i="6"/>
  <c r="D20" i="6"/>
  <c r="E14" i="6"/>
  <c r="D14" i="6"/>
  <c r="E15" i="6"/>
  <c r="G27" i="6"/>
  <c r="E18" i="6"/>
  <c r="G31" i="6"/>
  <c r="D24" i="6"/>
  <c r="E17" i="6"/>
  <c r="G18" i="6"/>
  <c r="E28" i="6"/>
  <c r="D15" i="6"/>
  <c r="E20" i="6"/>
  <c r="E19" i="6"/>
  <c r="D22" i="6"/>
  <c r="D16" i="6"/>
  <c r="G24" i="6"/>
  <c r="G17" i="6"/>
  <c r="D29" i="6"/>
  <c r="G12" i="6"/>
  <c r="D25" i="6"/>
  <c r="E31" i="6"/>
  <c r="D12" i="6"/>
  <c r="G15" i="6"/>
  <c r="E23" i="6"/>
  <c r="G16" i="6"/>
  <c r="E25" i="6"/>
  <c r="A9" i="6"/>
  <c r="C9" i="26"/>
  <c r="A6" i="26"/>
  <c r="C24" i="11"/>
  <c r="F15" i="11"/>
  <c r="F21" i="11"/>
  <c r="F12" i="11"/>
  <c r="F11" i="11"/>
  <c r="F25" i="11"/>
  <c r="H26" i="11"/>
  <c r="C8" i="11"/>
  <c r="F10" i="11"/>
  <c r="F24" i="11"/>
  <c r="A9" i="11"/>
  <c r="CB25" i="7" l="1"/>
  <c r="Q14" i="8" s="1"/>
  <c r="CB23" i="7"/>
  <c r="Q16" i="8" s="1"/>
  <c r="CB13" i="7"/>
  <c r="Q11" i="8" s="1"/>
  <c r="Q27" i="7"/>
  <c r="E25" i="10"/>
  <c r="CA15" i="7"/>
  <c r="P13" i="8" s="1"/>
  <c r="CA19" i="7"/>
  <c r="P12" i="8" s="1"/>
  <c r="CA17" i="7"/>
  <c r="P17" i="8" s="1"/>
  <c r="CA27" i="7"/>
  <c r="P18" i="8" s="1"/>
  <c r="CA11" i="7"/>
  <c r="P10" i="8" s="1"/>
  <c r="CA13" i="7"/>
  <c r="P11" i="8" s="1"/>
  <c r="CA23" i="7"/>
  <c r="P16" i="8" s="1"/>
  <c r="CA25" i="7"/>
  <c r="P14" i="8" s="1"/>
  <c r="CA21" i="7"/>
  <c r="P15" i="8" s="1"/>
  <c r="BZ9" i="7"/>
  <c r="O9" i="8" s="1"/>
  <c r="BZ11" i="7"/>
  <c r="O10" i="8" s="1"/>
  <c r="BZ13" i="7"/>
  <c r="O11" i="8" s="1"/>
  <c r="BZ15" i="7"/>
  <c r="O13" i="8" s="1"/>
  <c r="O17" i="7"/>
  <c r="BZ21" i="7"/>
  <c r="O15" i="8" s="1"/>
  <c r="O21" i="7"/>
  <c r="BZ25" i="7"/>
  <c r="O14" i="8" s="1"/>
  <c r="O15" i="7"/>
  <c r="BZ19" i="7"/>
  <c r="O12" i="8" s="1"/>
  <c r="O26" i="7"/>
  <c r="BZ23" i="7"/>
  <c r="O16" i="8" s="1"/>
  <c r="O27" i="7"/>
  <c r="BZ27" i="7"/>
  <c r="O18" i="8" s="1"/>
  <c r="N17" i="7"/>
  <c r="BY15" i="7"/>
  <c r="N13" i="8" s="1"/>
  <c r="BY9" i="7"/>
  <c r="N9" i="8" s="1"/>
  <c r="N9" i="7"/>
  <c r="N11" i="8"/>
  <c r="N11" i="7"/>
  <c r="BY11" i="7"/>
  <c r="N10" i="8" s="1"/>
  <c r="N13" i="7"/>
  <c r="BX21" i="7"/>
  <c r="M15" i="8" s="1"/>
  <c r="M11" i="7"/>
  <c r="BX13" i="7"/>
  <c r="M11" i="8" s="1"/>
  <c r="T10" i="7"/>
  <c r="Y10" i="7" s="1"/>
  <c r="CE9" i="7"/>
  <c r="T9" i="8" s="1"/>
  <c r="J28" i="6"/>
  <c r="V28" i="6" s="1"/>
  <c r="M28" i="6" s="1"/>
  <c r="BW11" i="7"/>
  <c r="L10" i="8" s="1"/>
  <c r="L12" i="7"/>
  <c r="BW9" i="7"/>
  <c r="L9" i="8" s="1"/>
  <c r="L9" i="7"/>
  <c r="BW13" i="7"/>
  <c r="L11" i="8" s="1"/>
  <c r="BW17" i="7"/>
  <c r="L17" i="8" s="1"/>
  <c r="L21" i="7"/>
  <c r="BW21" i="7"/>
  <c r="L15" i="8" s="1"/>
  <c r="BW25" i="7"/>
  <c r="L14" i="8" s="1"/>
  <c r="L18" i="7"/>
  <c r="L20" i="7"/>
  <c r="H27" i="28"/>
  <c r="BV23" i="7"/>
  <c r="K16" i="8" s="1"/>
  <c r="BV21" i="7"/>
  <c r="K15" i="8" s="1"/>
  <c r="DH10" i="7"/>
  <c r="F25" i="10"/>
  <c r="BV9" i="7"/>
  <c r="K9" i="8" s="1"/>
  <c r="BV13" i="7"/>
  <c r="K11" i="8" s="1"/>
  <c r="K15" i="7"/>
  <c r="BV19" i="7"/>
  <c r="K12" i="8" s="1"/>
  <c r="K25" i="7"/>
  <c r="BV17" i="7"/>
  <c r="K17" i="8" s="1"/>
  <c r="K17" i="7"/>
  <c r="BV15" i="7"/>
  <c r="K13" i="8" s="1"/>
  <c r="BV27" i="7"/>
  <c r="K18" i="8" s="1"/>
  <c r="BV25" i="7"/>
  <c r="K14" i="8" s="1"/>
  <c r="T23" i="6"/>
  <c r="R23" i="6"/>
  <c r="U29" i="6"/>
  <c r="S26" i="6"/>
  <c r="J23" i="7"/>
  <c r="Y23" i="7" s="1"/>
  <c r="BU21" i="7"/>
  <c r="J15" i="8" s="1"/>
  <c r="J16" i="7"/>
  <c r="BU25" i="7"/>
  <c r="J14" i="8" s="1"/>
  <c r="J13" i="7"/>
  <c r="BU11" i="7"/>
  <c r="J10" i="8" s="1"/>
  <c r="J22" i="7"/>
  <c r="BU19" i="7"/>
  <c r="J12" i="8" s="1"/>
  <c r="J26" i="7"/>
  <c r="BU23" i="7"/>
  <c r="J16" i="8" s="1"/>
  <c r="BU27" i="7"/>
  <c r="J18" i="8" s="1"/>
  <c r="J28" i="7"/>
  <c r="J9" i="7"/>
  <c r="BU9" i="7"/>
  <c r="J9" i="8" s="1"/>
  <c r="U23" i="6"/>
  <c r="J21" i="6"/>
  <c r="V21" i="6" s="1"/>
  <c r="M21" i="6" s="1"/>
  <c r="R20" i="6"/>
  <c r="T28" i="6"/>
  <c r="F19" i="6"/>
  <c r="S28" i="6"/>
  <c r="J31" i="6"/>
  <c r="V31" i="6" s="1"/>
  <c r="M31" i="6" s="1"/>
  <c r="S20" i="6"/>
  <c r="U28" i="6"/>
  <c r="U20" i="6"/>
  <c r="U19" i="6"/>
  <c r="T29" i="6"/>
  <c r="J17" i="6"/>
  <c r="V17" i="6" s="1"/>
  <c r="M17" i="6" s="1"/>
  <c r="S29" i="6"/>
  <c r="R26" i="6"/>
  <c r="H12" i="28"/>
  <c r="I27" i="28" s="1"/>
  <c r="F21" i="28"/>
  <c r="G21" i="28" s="1"/>
  <c r="R19" i="6"/>
  <c r="T19" i="6"/>
  <c r="G35" i="6"/>
  <c r="T26" i="6"/>
  <c r="I15" i="7"/>
  <c r="BT19" i="7"/>
  <c r="I12" i="8" s="1"/>
  <c r="I21" i="7"/>
  <c r="BT21" i="7"/>
  <c r="I15" i="8" s="1"/>
  <c r="I19" i="7"/>
  <c r="BT23" i="7"/>
  <c r="I16" i="8" s="1"/>
  <c r="I18" i="7"/>
  <c r="BT25" i="7"/>
  <c r="I14" i="8" s="1"/>
  <c r="I11" i="7"/>
  <c r="BT13" i="7"/>
  <c r="I11" i="8" s="1"/>
  <c r="H25" i="28"/>
  <c r="F15" i="28"/>
  <c r="G15" i="28" s="1"/>
  <c r="BR9" i="7"/>
  <c r="G9" i="8" s="1"/>
  <c r="G9" i="7"/>
  <c r="G11" i="7"/>
  <c r="DH13" i="7"/>
  <c r="BR17" i="7"/>
  <c r="G17" i="8" s="1"/>
  <c r="L19" i="6"/>
  <c r="H28" i="28"/>
  <c r="F28" i="28"/>
  <c r="G28" i="28" s="1"/>
  <c r="H23" i="28"/>
  <c r="F16" i="28"/>
  <c r="G16" i="28" s="1"/>
  <c r="F18" i="28"/>
  <c r="G18" i="28" s="1"/>
  <c r="D17" i="25"/>
  <c r="F17" i="25" s="1"/>
  <c r="D27" i="25"/>
  <c r="F27" i="25" s="1"/>
  <c r="D23" i="25"/>
  <c r="F23" i="25" s="1"/>
  <c r="D24" i="25"/>
  <c r="F24" i="25" s="1"/>
  <c r="D26" i="25"/>
  <c r="F26" i="25" s="1"/>
  <c r="D28" i="25"/>
  <c r="F28" i="25" s="1"/>
  <c r="D21" i="25"/>
  <c r="F21" i="25" s="1"/>
  <c r="D14" i="25"/>
  <c r="F14" i="25" s="1"/>
  <c r="D22" i="25"/>
  <c r="F22" i="25" s="1"/>
  <c r="D15" i="25"/>
  <c r="F15" i="25" s="1"/>
  <c r="D13" i="25"/>
  <c r="F13" i="25" s="1"/>
  <c r="D25" i="25"/>
  <c r="F25" i="25" s="1"/>
  <c r="D18" i="25"/>
  <c r="F18" i="25" s="1"/>
  <c r="D20" i="25"/>
  <c r="F20" i="25" s="1"/>
  <c r="D30" i="25"/>
  <c r="F30" i="25" s="1"/>
  <c r="D12" i="25"/>
  <c r="F12" i="25" s="1"/>
  <c r="D29" i="25"/>
  <c r="F29" i="25" s="1"/>
  <c r="D16" i="25"/>
  <c r="F16" i="25" s="1"/>
  <c r="D31" i="25"/>
  <c r="F31" i="25" s="1"/>
  <c r="D19" i="25"/>
  <c r="F19" i="25" s="1"/>
  <c r="H16" i="28"/>
  <c r="H17" i="28"/>
  <c r="F29" i="28"/>
  <c r="G29" i="28" s="1"/>
  <c r="F23" i="28"/>
  <c r="G23" i="28" s="1"/>
  <c r="H19" i="28"/>
  <c r="F12" i="28"/>
  <c r="G12" i="28" s="1"/>
  <c r="F24" i="28"/>
  <c r="G24" i="28" s="1"/>
  <c r="F31" i="28"/>
  <c r="G31" i="28" s="1"/>
  <c r="F13" i="28"/>
  <c r="G13" i="28" s="1"/>
  <c r="F14" i="28"/>
  <c r="G14" i="28" s="1"/>
  <c r="H30" i="28"/>
  <c r="F22" i="28"/>
  <c r="G22" i="28" s="1"/>
  <c r="H18" i="28"/>
  <c r="H13" i="28"/>
  <c r="F26" i="28"/>
  <c r="G26" i="28" s="1"/>
  <c r="H31" i="28"/>
  <c r="H20" i="28"/>
  <c r="F17" i="28"/>
  <c r="G17" i="28" s="1"/>
  <c r="H26" i="28"/>
  <c r="F25" i="28"/>
  <c r="G25" i="28" s="1"/>
  <c r="F30" i="28"/>
  <c r="G30" i="28" s="1"/>
  <c r="F27" i="28"/>
  <c r="G27" i="28" s="1"/>
  <c r="H14" i="28"/>
  <c r="H24" i="28"/>
  <c r="F20" i="28"/>
  <c r="G20" i="28" s="1"/>
  <c r="H21" i="28"/>
  <c r="H29" i="28"/>
  <c r="H22" i="28"/>
  <c r="H15" i="28"/>
  <c r="F30" i="27"/>
  <c r="G30" i="27" s="1"/>
  <c r="Q13" i="7"/>
  <c r="CB11" i="7"/>
  <c r="Q10" i="8" s="1"/>
  <c r="G14" i="7"/>
  <c r="Y14" i="7" s="1"/>
  <c r="BR13" i="7"/>
  <c r="CB15" i="7"/>
  <c r="Q13" i="8" s="1"/>
  <c r="Q17" i="7"/>
  <c r="I25" i="7"/>
  <c r="BT17" i="7"/>
  <c r="I17" i="8" s="1"/>
  <c r="CI17" i="7"/>
  <c r="X17" i="8" s="1"/>
  <c r="X25" i="7"/>
  <c r="BY17" i="7"/>
  <c r="N17" i="8" s="1"/>
  <c r="N24" i="7"/>
  <c r="N15" i="7"/>
  <c r="BY19" i="7"/>
  <c r="N12" i="8" s="1"/>
  <c r="BY21" i="7"/>
  <c r="N15" i="8" s="1"/>
  <c r="N21" i="7"/>
  <c r="BY23" i="7"/>
  <c r="N16" i="8" s="1"/>
  <c r="N19" i="7"/>
  <c r="N18" i="7"/>
  <c r="BY25" i="7"/>
  <c r="N14" i="8" s="1"/>
  <c r="G28" i="7"/>
  <c r="BR27" i="7"/>
  <c r="G18" i="8" s="1"/>
  <c r="BT27" i="7"/>
  <c r="I18" i="8" s="1"/>
  <c r="DH28" i="7"/>
  <c r="I27" i="7"/>
  <c r="CB9" i="7"/>
  <c r="Q9" i="8" s="1"/>
  <c r="Q9" i="7"/>
  <c r="M20" i="7"/>
  <c r="BX15" i="7"/>
  <c r="M13" i="8" s="1"/>
  <c r="DH22" i="7"/>
  <c r="DH14" i="7"/>
  <c r="DH17" i="7"/>
  <c r="D18" i="8"/>
  <c r="DH23" i="7"/>
  <c r="BT11" i="7"/>
  <c r="I10" i="8" s="1"/>
  <c r="I13" i="7"/>
  <c r="DH11" i="7"/>
  <c r="I12" i="7"/>
  <c r="DH12" i="7"/>
  <c r="BT15" i="7"/>
  <c r="I13" i="8" s="1"/>
  <c r="I17" i="7"/>
  <c r="DH15" i="7"/>
  <c r="G20" i="7"/>
  <c r="BR15" i="7"/>
  <c r="G13" i="8" s="1"/>
  <c r="DH16" i="7"/>
  <c r="X20" i="7"/>
  <c r="CI15" i="7"/>
  <c r="X13" i="8" s="1"/>
  <c r="O25" i="7"/>
  <c r="BZ17" i="7"/>
  <c r="O17" i="8" s="1"/>
  <c r="I24" i="7"/>
  <c r="DH18" i="7"/>
  <c r="G15" i="7"/>
  <c r="DH19" i="7"/>
  <c r="BR19" i="7"/>
  <c r="G22" i="7"/>
  <c r="DH20" i="7"/>
  <c r="BR21" i="7"/>
  <c r="DH21" i="7"/>
  <c r="G21" i="7"/>
  <c r="G19" i="7"/>
  <c r="BR23" i="7"/>
  <c r="G26" i="7"/>
  <c r="DH24" i="7"/>
  <c r="BR25" i="7"/>
  <c r="G14" i="8" s="1"/>
  <c r="G18" i="7"/>
  <c r="DH25" i="7"/>
  <c r="R16" i="7"/>
  <c r="R14" i="8"/>
  <c r="BY27" i="7"/>
  <c r="N18" i="8" s="1"/>
  <c r="N28" i="7"/>
  <c r="CC27" i="7"/>
  <c r="R18" i="8" s="1"/>
  <c r="R27" i="7"/>
  <c r="I9" i="7"/>
  <c r="BT9" i="7"/>
  <c r="I9" i="8" s="1"/>
  <c r="DH9" i="7"/>
  <c r="DH26" i="7"/>
  <c r="E17" i="8"/>
  <c r="E13" i="8"/>
  <c r="D10" i="8"/>
  <c r="D9" i="8"/>
  <c r="DH27" i="7"/>
  <c r="D14" i="8"/>
  <c r="F22" i="27"/>
  <c r="G22" i="27" s="1"/>
  <c r="H22" i="27"/>
  <c r="H30" i="27"/>
  <c r="F24" i="27"/>
  <c r="G24" i="27" s="1"/>
  <c r="H14" i="27"/>
  <c r="F28" i="27"/>
  <c r="G28" i="27" s="1"/>
  <c r="H15" i="27"/>
  <c r="H19" i="27"/>
  <c r="F20" i="27"/>
  <c r="G20" i="27" s="1"/>
  <c r="H25" i="27"/>
  <c r="F27" i="27"/>
  <c r="G27" i="27" s="1"/>
  <c r="H12" i="27"/>
  <c r="F23" i="27"/>
  <c r="G23" i="27" s="1"/>
  <c r="H18" i="27"/>
  <c r="F16" i="27"/>
  <c r="G16" i="27" s="1"/>
  <c r="F26" i="27"/>
  <c r="G26" i="27" s="1"/>
  <c r="F15" i="27"/>
  <c r="G15" i="27" s="1"/>
  <c r="H17" i="27"/>
  <c r="F18" i="27"/>
  <c r="G18" i="27" s="1"/>
  <c r="H16" i="27"/>
  <c r="F25" i="27"/>
  <c r="G25" i="27" s="1"/>
  <c r="H27" i="27"/>
  <c r="F29" i="27"/>
  <c r="G29" i="27" s="1"/>
  <c r="F21" i="27"/>
  <c r="G21" i="27" s="1"/>
  <c r="H24" i="27"/>
  <c r="H29" i="27"/>
  <c r="H26" i="27"/>
  <c r="H20" i="27"/>
  <c r="F12" i="27"/>
  <c r="G12" i="27" s="1"/>
  <c r="F13" i="27"/>
  <c r="G13" i="27" s="1"/>
  <c r="F17" i="27"/>
  <c r="G17" i="27" s="1"/>
  <c r="H21" i="27"/>
  <c r="H31" i="27"/>
  <c r="F14" i="27"/>
  <c r="G14" i="27" s="1"/>
  <c r="H13" i="27"/>
  <c r="F19" i="27"/>
  <c r="G19" i="27" s="1"/>
  <c r="H23" i="27"/>
  <c r="F31" i="27"/>
  <c r="G31" i="27" s="1"/>
  <c r="S13" i="6"/>
  <c r="U13" i="6"/>
  <c r="T13" i="6"/>
  <c r="R13" i="6"/>
  <c r="F12" i="6"/>
  <c r="J12" i="6"/>
  <c r="V12" i="6" s="1"/>
  <c r="M12" i="6" s="1"/>
  <c r="F22" i="6"/>
  <c r="J22" i="6"/>
  <c r="V22" i="6" s="1"/>
  <c r="M22" i="6" s="1"/>
  <c r="J15" i="6"/>
  <c r="V15" i="6" s="1"/>
  <c r="M15" i="6" s="1"/>
  <c r="F15" i="6"/>
  <c r="J24" i="6"/>
  <c r="V24" i="6" s="1"/>
  <c r="M24" i="6" s="1"/>
  <c r="F24" i="6"/>
  <c r="S22" i="6"/>
  <c r="R22" i="6"/>
  <c r="T22" i="6"/>
  <c r="U22" i="6"/>
  <c r="S24" i="6"/>
  <c r="T24" i="6"/>
  <c r="R24" i="6"/>
  <c r="U24" i="6"/>
  <c r="S31" i="6"/>
  <c r="U31" i="6"/>
  <c r="T31" i="6"/>
  <c r="R31" i="6"/>
  <c r="S25" i="6"/>
  <c r="R25" i="6"/>
  <c r="U25" i="6"/>
  <c r="T25" i="6"/>
  <c r="J25" i="6"/>
  <c r="V25" i="6" s="1"/>
  <c r="M25" i="6" s="1"/>
  <c r="F25" i="6"/>
  <c r="J13" i="6"/>
  <c r="V13" i="6" s="1"/>
  <c r="M13" i="6" s="1"/>
  <c r="F13" i="6"/>
  <c r="S14" i="6"/>
  <c r="R14" i="6"/>
  <c r="U14" i="6"/>
  <c r="T14" i="6"/>
  <c r="S18" i="6"/>
  <c r="R18" i="6"/>
  <c r="U18" i="6"/>
  <c r="T18" i="6"/>
  <c r="S16" i="6"/>
  <c r="U16" i="6"/>
  <c r="R16" i="6"/>
  <c r="T16" i="6"/>
  <c r="T12" i="6"/>
  <c r="S12" i="6"/>
  <c r="R12" i="6"/>
  <c r="U12" i="6"/>
  <c r="T27" i="6"/>
  <c r="U27" i="6"/>
  <c r="S27" i="6"/>
  <c r="R27" i="6"/>
  <c r="F18" i="6"/>
  <c r="J18" i="6"/>
  <c r="V18" i="6" s="1"/>
  <c r="M18" i="6" s="1"/>
  <c r="T30" i="6"/>
  <c r="S30" i="6"/>
  <c r="R30" i="6"/>
  <c r="U30" i="6"/>
  <c r="J30" i="6"/>
  <c r="V30" i="6" s="1"/>
  <c r="M30" i="6" s="1"/>
  <c r="F30" i="6"/>
  <c r="J29" i="6"/>
  <c r="V29" i="6" s="1"/>
  <c r="M29" i="6" s="1"/>
  <c r="F29" i="6"/>
  <c r="J27" i="6"/>
  <c r="V27" i="6" s="1"/>
  <c r="M27" i="6" s="1"/>
  <c r="F27" i="6"/>
  <c r="J23" i="6"/>
  <c r="V23" i="6" s="1"/>
  <c r="M23" i="6" s="1"/>
  <c r="F23" i="6"/>
  <c r="S17" i="6"/>
  <c r="U17" i="6"/>
  <c r="T17" i="6"/>
  <c r="R17" i="6"/>
  <c r="J14" i="6"/>
  <c r="V14" i="6" s="1"/>
  <c r="M14" i="6" s="1"/>
  <c r="F14" i="6"/>
  <c r="T15" i="6"/>
  <c r="R15" i="6"/>
  <c r="S15" i="6"/>
  <c r="U15" i="6"/>
  <c r="J16" i="6"/>
  <c r="V16" i="6" s="1"/>
  <c r="M16" i="6" s="1"/>
  <c r="F16" i="6"/>
  <c r="F20" i="6"/>
  <c r="J20" i="6"/>
  <c r="V20" i="6" s="1"/>
  <c r="M20" i="6" s="1"/>
  <c r="F26" i="6"/>
  <c r="J26" i="6"/>
  <c r="V26" i="6" s="1"/>
  <c r="M26" i="6" s="1"/>
  <c r="G33" i="6"/>
  <c r="I33" i="6"/>
  <c r="F33" i="6"/>
  <c r="H15" i="26"/>
  <c r="H25" i="26"/>
  <c r="F31" i="26"/>
  <c r="G31" i="26" s="1"/>
  <c r="F15" i="26"/>
  <c r="G15" i="26" s="1"/>
  <c r="H23" i="26"/>
  <c r="H31" i="26"/>
  <c r="H16" i="26"/>
  <c r="F28" i="26"/>
  <c r="G28" i="26" s="1"/>
  <c r="H27" i="26"/>
  <c r="H24" i="26"/>
  <c r="H29" i="26"/>
  <c r="H17" i="26"/>
  <c r="F17" i="26"/>
  <c r="G17" i="26" s="1"/>
  <c r="H30" i="26"/>
  <c r="H21" i="26"/>
  <c r="H28" i="26"/>
  <c r="F29" i="26"/>
  <c r="G29" i="26" s="1"/>
  <c r="H13" i="26"/>
  <c r="F12" i="26"/>
  <c r="G12" i="26" s="1"/>
  <c r="H26" i="26"/>
  <c r="H18" i="26"/>
  <c r="F26" i="26"/>
  <c r="G26" i="26" s="1"/>
  <c r="F20" i="26"/>
  <c r="G20" i="26" s="1"/>
  <c r="F25" i="26"/>
  <c r="G25" i="26" s="1"/>
  <c r="F27" i="26"/>
  <c r="G27" i="26" s="1"/>
  <c r="F23" i="26"/>
  <c r="G23" i="26" s="1"/>
  <c r="F14" i="26"/>
  <c r="G14" i="26" s="1"/>
  <c r="F22" i="26"/>
  <c r="G22" i="26" s="1"/>
  <c r="F18" i="26"/>
  <c r="G18" i="26" s="1"/>
  <c r="H20" i="26"/>
  <c r="F21" i="26"/>
  <c r="G21" i="26" s="1"/>
  <c r="F30" i="26"/>
  <c r="G30" i="26" s="1"/>
  <c r="F24" i="26"/>
  <c r="G24" i="26" s="1"/>
  <c r="H22" i="26"/>
  <c r="H19" i="26"/>
  <c r="F19" i="26"/>
  <c r="G19" i="26" s="1"/>
  <c r="F13" i="26"/>
  <c r="G13" i="26" s="1"/>
  <c r="F16" i="26"/>
  <c r="G16" i="26" s="1"/>
  <c r="H14" i="26"/>
  <c r="H12" i="26"/>
  <c r="I16" i="27" l="1"/>
  <c r="Y12" i="7"/>
  <c r="AK14" i="7" s="1"/>
  <c r="Y24" i="7"/>
  <c r="L28" i="6"/>
  <c r="I25" i="28"/>
  <c r="L31" i="6"/>
  <c r="I29" i="27"/>
  <c r="I21" i="27"/>
  <c r="I27" i="27"/>
  <c r="Y16" i="7"/>
  <c r="Y22" i="7"/>
  <c r="I31" i="28"/>
  <c r="Y11" i="7"/>
  <c r="L21" i="6"/>
  <c r="Y26" i="7"/>
  <c r="Y19" i="7"/>
  <c r="L17" i="6"/>
  <c r="CJ11" i="7"/>
  <c r="I30" i="28"/>
  <c r="I29" i="28"/>
  <c r="I28" i="28"/>
  <c r="I15" i="28"/>
  <c r="I14" i="28"/>
  <c r="I26" i="28"/>
  <c r="I20" i="28"/>
  <c r="I18" i="28"/>
  <c r="I19" i="28"/>
  <c r="I16" i="28"/>
  <c r="I24" i="28"/>
  <c r="I23" i="28"/>
  <c r="I22" i="28"/>
  <c r="I21" i="28"/>
  <c r="I17" i="28"/>
  <c r="I13" i="28"/>
  <c r="I31" i="26"/>
  <c r="Y15" i="7"/>
  <c r="AK15" i="7" s="1"/>
  <c r="Y13" i="7"/>
  <c r="Y13" i="8"/>
  <c r="Y10" i="8"/>
  <c r="CJ17" i="7"/>
  <c r="Y9" i="7"/>
  <c r="AK10" i="7" s="1"/>
  <c r="Y21" i="7"/>
  <c r="Y17" i="7"/>
  <c r="Y28" i="7"/>
  <c r="CJ25" i="7"/>
  <c r="CJ9" i="7"/>
  <c r="CJ15" i="7"/>
  <c r="Y17" i="8"/>
  <c r="Y18" i="7"/>
  <c r="Y20" i="7"/>
  <c r="L29" i="6"/>
  <c r="I31" i="27"/>
  <c r="L18" i="6"/>
  <c r="L20" i="6"/>
  <c r="L16" i="6"/>
  <c r="L13" i="6"/>
  <c r="L22" i="6"/>
  <c r="L12" i="6"/>
  <c r="L26" i="6"/>
  <c r="L14" i="6"/>
  <c r="L27" i="6"/>
  <c r="L30" i="6"/>
  <c r="L25" i="6"/>
  <c r="L24" i="6"/>
  <c r="L15" i="6"/>
  <c r="L23" i="6"/>
  <c r="I22" i="26"/>
  <c r="I20" i="26"/>
  <c r="I26" i="26"/>
  <c r="I28" i="26"/>
  <c r="I30" i="26"/>
  <c r="I17" i="26"/>
  <c r="I24" i="26"/>
  <c r="I25" i="26"/>
  <c r="I14" i="26"/>
  <c r="I19" i="26"/>
  <c r="I18" i="26"/>
  <c r="I21" i="26"/>
  <c r="I29" i="26"/>
  <c r="I27" i="26"/>
  <c r="I16" i="26"/>
  <c r="I23" i="26"/>
  <c r="I15" i="26"/>
  <c r="I23" i="27"/>
  <c r="I13" i="27"/>
  <c r="I26" i="27"/>
  <c r="I24" i="27"/>
  <c r="G16" i="8"/>
  <c r="Y16" i="8" s="1"/>
  <c r="CJ23" i="7"/>
  <c r="G15" i="8"/>
  <c r="Y15" i="8" s="1"/>
  <c r="CJ21" i="7"/>
  <c r="CJ27" i="7"/>
  <c r="Y27" i="7"/>
  <c r="Y25" i="7"/>
  <c r="Y14" i="8"/>
  <c r="Y9" i="8"/>
  <c r="AK27" i="21"/>
  <c r="G12" i="8"/>
  <c r="Y12" i="8" s="1"/>
  <c r="CJ19" i="7"/>
  <c r="Y18" i="8"/>
  <c r="G11" i="8"/>
  <c r="Y11" i="8" s="1"/>
  <c r="CJ13" i="7"/>
  <c r="I15" i="27"/>
  <c r="I14" i="27"/>
  <c r="I18" i="27"/>
  <c r="I20" i="27"/>
  <c r="I30" i="27"/>
  <c r="I17" i="27"/>
  <c r="I25" i="27"/>
  <c r="I22" i="27"/>
  <c r="I19" i="27"/>
  <c r="I28" i="27"/>
  <c r="I13" i="26"/>
  <c r="AK11" i="7" l="1"/>
  <c r="AK13" i="7"/>
  <c r="AK18" i="7"/>
  <c r="AK17" i="7"/>
  <c r="AK16" i="7"/>
  <c r="AK27" i="7"/>
  <c r="AK23" i="7"/>
  <c r="AK19" i="7"/>
  <c r="AK22" i="7"/>
  <c r="AK25" i="7"/>
  <c r="AK21" i="7"/>
  <c r="AK26" i="7"/>
  <c r="AK28" i="7"/>
  <c r="AK20" i="7"/>
  <c r="AK12" i="7"/>
  <c r="AI28" i="21"/>
  <c r="AI29" i="21"/>
  <c r="AI30" i="21"/>
  <c r="AI27" i="21"/>
  <c r="AK24" i="7"/>
  <c r="B18" i="4" l="1"/>
</calcChain>
</file>

<file path=xl/sharedStrings.xml><?xml version="1.0" encoding="utf-8"?>
<sst xmlns="http://schemas.openxmlformats.org/spreadsheetml/2006/main" count="6405" uniqueCount="722">
  <si>
    <t>race</t>
  </si>
  <si>
    <t>GP van</t>
  </si>
  <si>
    <t>datum</t>
  </si>
  <si>
    <t>land</t>
  </si>
  <si>
    <t>stad</t>
  </si>
  <si>
    <t>circuit</t>
  </si>
  <si>
    <t>tijd (lok.)</t>
  </si>
  <si>
    <t>tijd (nl)</t>
  </si>
  <si>
    <t>lengte</t>
  </si>
  <si>
    <t># ronden</t>
  </si>
  <si>
    <t>team</t>
  </si>
  <si>
    <t>tijd</t>
  </si>
  <si>
    <t>pole</t>
  </si>
  <si>
    <t>tijd (pole)</t>
  </si>
  <si>
    <t>snelste ronde</t>
  </si>
  <si>
    <t>ronde nr.</t>
  </si>
  <si>
    <t>tijd (sr)</t>
  </si>
  <si>
    <t>nr1</t>
  </si>
  <si>
    <t>opm</t>
  </si>
  <si>
    <t>stops</t>
  </si>
  <si>
    <t>start</t>
  </si>
  <si>
    <t>tijd1</t>
  </si>
  <si>
    <t>nr2</t>
  </si>
  <si>
    <t>tijd2</t>
  </si>
  <si>
    <t>nr3</t>
  </si>
  <si>
    <t>tijd3</t>
  </si>
  <si>
    <t>nr4</t>
  </si>
  <si>
    <t>tijd4</t>
  </si>
  <si>
    <t>nr5</t>
  </si>
  <si>
    <t>tijd5</t>
  </si>
  <si>
    <t>nr6</t>
  </si>
  <si>
    <t>tij6</t>
  </si>
  <si>
    <t>nr7</t>
  </si>
  <si>
    <t>tijd7</t>
  </si>
  <si>
    <t>nr8</t>
  </si>
  <si>
    <t>tijd8</t>
  </si>
  <si>
    <t>nr9</t>
  </si>
  <si>
    <t>tijd9</t>
  </si>
  <si>
    <t>nr10</t>
  </si>
  <si>
    <t>tijd10</t>
  </si>
  <si>
    <t>nr11</t>
  </si>
  <si>
    <t>tijd11</t>
  </si>
  <si>
    <t>nr12</t>
  </si>
  <si>
    <t>tijd12</t>
  </si>
  <si>
    <t>nr13</t>
  </si>
  <si>
    <t>tijd13</t>
  </si>
  <si>
    <t>nr14</t>
  </si>
  <si>
    <t>tijd14</t>
  </si>
  <si>
    <t>nr15</t>
  </si>
  <si>
    <t>tijd15</t>
  </si>
  <si>
    <t>nr16</t>
  </si>
  <si>
    <t>tijd16</t>
  </si>
  <si>
    <t>nr17</t>
  </si>
  <si>
    <t>tijd17</t>
  </si>
  <si>
    <t>nr18</t>
  </si>
  <si>
    <t>tijd18</t>
  </si>
  <si>
    <t>nr19</t>
  </si>
  <si>
    <t>tijd19</t>
  </si>
  <si>
    <t>nr20</t>
  </si>
  <si>
    <t>tijd20</t>
  </si>
  <si>
    <t>oude pole</t>
  </si>
  <si>
    <t>GP 1</t>
  </si>
  <si>
    <t>Australië</t>
  </si>
  <si>
    <t>K. Raïkkönen</t>
  </si>
  <si>
    <t>Ferrari</t>
  </si>
  <si>
    <t>McLaren</t>
  </si>
  <si>
    <t>L. Hamilton</t>
  </si>
  <si>
    <t>S. Vettel</t>
  </si>
  <si>
    <t>GP 2</t>
  </si>
  <si>
    <t>GP 3</t>
  </si>
  <si>
    <t>GP 4</t>
  </si>
  <si>
    <t>Spanje</t>
  </si>
  <si>
    <t>GP 5</t>
  </si>
  <si>
    <t>…</t>
  </si>
  <si>
    <t>GP 6</t>
  </si>
  <si>
    <t>Monaco</t>
  </si>
  <si>
    <t>GP 7</t>
  </si>
  <si>
    <t>Williams</t>
  </si>
  <si>
    <t>GP 8</t>
  </si>
  <si>
    <t>GP 9</t>
  </si>
  <si>
    <t>GP 10</t>
  </si>
  <si>
    <t>Duitsland</t>
  </si>
  <si>
    <t>GP 11</t>
  </si>
  <si>
    <t>Hongarije</t>
  </si>
  <si>
    <t>GP 12</t>
  </si>
  <si>
    <t>GP 13</t>
  </si>
  <si>
    <t>België</t>
  </si>
  <si>
    <t>GP 14</t>
  </si>
  <si>
    <t>Italië</t>
  </si>
  <si>
    <t>GP 15</t>
  </si>
  <si>
    <t>Singapore</t>
  </si>
  <si>
    <t>GP 16</t>
  </si>
  <si>
    <t>Japan</t>
  </si>
  <si>
    <t>GP 17</t>
  </si>
  <si>
    <t>China</t>
  </si>
  <si>
    <t>GP</t>
  </si>
  <si>
    <t>pos1</t>
  </si>
  <si>
    <t>pos2</t>
  </si>
  <si>
    <t>pos3</t>
  </si>
  <si>
    <t>pos4</t>
  </si>
  <si>
    <t>pos5</t>
  </si>
  <si>
    <t>pos6</t>
  </si>
  <si>
    <t>pos7</t>
  </si>
  <si>
    <t>pos8</t>
  </si>
  <si>
    <t>pos9</t>
  </si>
  <si>
    <t>pos10</t>
  </si>
  <si>
    <t>pos11</t>
  </si>
  <si>
    <t>pos12</t>
  </si>
  <si>
    <t>pos13</t>
  </si>
  <si>
    <t>pos14</t>
  </si>
  <si>
    <t>pos15</t>
  </si>
  <si>
    <t>pos16</t>
  </si>
  <si>
    <t>pos17</t>
  </si>
  <si>
    <t>pos18</t>
  </si>
  <si>
    <t>pos19</t>
  </si>
  <si>
    <t>pos20</t>
  </si>
  <si>
    <t>pos21</t>
  </si>
  <si>
    <t>pos22</t>
  </si>
  <si>
    <t>GP 1 VT1</t>
  </si>
  <si>
    <t>GP 1 VT2</t>
  </si>
  <si>
    <t>GP 1 VT3</t>
  </si>
  <si>
    <t>GP 1 KW</t>
  </si>
  <si>
    <t>GP 2 VT1</t>
  </si>
  <si>
    <t>GP 2 VT2</t>
  </si>
  <si>
    <t>GP 2 VT3</t>
  </si>
  <si>
    <t>GP 2 KW</t>
  </si>
  <si>
    <t>GP 3 VT1</t>
  </si>
  <si>
    <t>GP 3 VT2</t>
  </si>
  <si>
    <t>GP 3 VT3</t>
  </si>
  <si>
    <t>GP 3 KW</t>
  </si>
  <si>
    <t>GP 4 VT1</t>
  </si>
  <si>
    <t>GP 4 VT2</t>
  </si>
  <si>
    <t>GP 4 VT3</t>
  </si>
  <si>
    <t>GP 4 KW</t>
  </si>
  <si>
    <t>GP 5 VT1</t>
  </si>
  <si>
    <t>GP 5 VT2</t>
  </si>
  <si>
    <t>GP 5 VT3</t>
  </si>
  <si>
    <t>GP 5 KW</t>
  </si>
  <si>
    <t>GP 6 VT1</t>
  </si>
  <si>
    <t>GP 6 VT2</t>
  </si>
  <si>
    <t>GP 6 VT3</t>
  </si>
  <si>
    <t>GP 6 KW</t>
  </si>
  <si>
    <t>GP 7 VT1</t>
  </si>
  <si>
    <t>GP 7 VT2</t>
  </si>
  <si>
    <t>GP 7 VT3</t>
  </si>
  <si>
    <t>GP 7 KW</t>
  </si>
  <si>
    <t>GP 8 VT1</t>
  </si>
  <si>
    <t>GP 8 VT2</t>
  </si>
  <si>
    <t>GP 8 VT3</t>
  </si>
  <si>
    <t>GP 8 KW</t>
  </si>
  <si>
    <t>GP 9 VT1</t>
  </si>
  <si>
    <t>GP 9 VT2</t>
  </si>
  <si>
    <t>GP 9 VT3</t>
  </si>
  <si>
    <t>GP 9 KW</t>
  </si>
  <si>
    <t>GP 10 VT1</t>
  </si>
  <si>
    <t>GP 10 VT2</t>
  </si>
  <si>
    <t>GP 10 VT3</t>
  </si>
  <si>
    <t>GP 10 KW</t>
  </si>
  <si>
    <t>GP 11 VT1</t>
  </si>
  <si>
    <t>GP 11 VT2</t>
  </si>
  <si>
    <t>GP 11 VT3</t>
  </si>
  <si>
    <t>GP 11 KW</t>
  </si>
  <si>
    <t>GP 12 VT1</t>
  </si>
  <si>
    <t>GP 12 VT2</t>
  </si>
  <si>
    <t>GP 12 VT3</t>
  </si>
  <si>
    <t>GP 12 KW</t>
  </si>
  <si>
    <t>GP 13 VT1</t>
  </si>
  <si>
    <t>GP 13 VT2</t>
  </si>
  <si>
    <t>GP 13 VT3</t>
  </si>
  <si>
    <t>GP 13 KW</t>
  </si>
  <si>
    <t>GP 14 VT1</t>
  </si>
  <si>
    <t>GP 14 VT2</t>
  </si>
  <si>
    <t>GP 14 VT3</t>
  </si>
  <si>
    <t>GP 14 KW</t>
  </si>
  <si>
    <t>GP 15 VT1</t>
  </si>
  <si>
    <t>GP 15 VT2</t>
  </si>
  <si>
    <t>GP 15 VT3</t>
  </si>
  <si>
    <t>GP 15 KW</t>
  </si>
  <si>
    <t>GP 16 VT1</t>
  </si>
  <si>
    <t>GP 16 VT2</t>
  </si>
  <si>
    <t>GP 16 VT3</t>
  </si>
  <si>
    <t>GP 16 KW</t>
  </si>
  <si>
    <t>GP 17 VT1</t>
  </si>
  <si>
    <t>GP 17 VT2</t>
  </si>
  <si>
    <t>GP 17 VT3</t>
  </si>
  <si>
    <t>GP 17 KW</t>
  </si>
  <si>
    <t>Team</t>
  </si>
  <si>
    <t>teamnaam</t>
  </si>
  <si>
    <t>1e Seizoen</t>
  </si>
  <si>
    <t>gevestigd in</t>
  </si>
  <si>
    <t>wagen</t>
  </si>
  <si>
    <t>motor</t>
  </si>
  <si>
    <t>Banden</t>
  </si>
  <si>
    <t>startnummer</t>
  </si>
  <si>
    <t>rijder1</t>
  </si>
  <si>
    <t>nat. Rijder1</t>
  </si>
  <si>
    <t>geb.datum1</t>
  </si>
  <si>
    <t>1e GP</t>
  </si>
  <si>
    <t>rijder2</t>
  </si>
  <si>
    <t>nat. Rijder2</t>
  </si>
  <si>
    <t>geb.datum2</t>
  </si>
  <si>
    <t>teambaas</t>
  </si>
  <si>
    <t>testrijder1</t>
  </si>
  <si>
    <t>testrijder2</t>
  </si>
  <si>
    <t>testrijder3</t>
  </si>
  <si>
    <t>website</t>
  </si>
  <si>
    <t>hoogste finish</t>
  </si>
  <si>
    <t xml:space="preserve">aantal pole's </t>
  </si>
  <si>
    <t>aantal s.r.'s</t>
  </si>
  <si>
    <t>titels constructeurs</t>
  </si>
  <si>
    <t>opmerking</t>
  </si>
  <si>
    <t>1</t>
  </si>
  <si>
    <t>Finland</t>
  </si>
  <si>
    <t>3</t>
  </si>
  <si>
    <t>7</t>
  </si>
  <si>
    <t>8</t>
  </si>
  <si>
    <t>9</t>
  </si>
  <si>
    <t>11</t>
  </si>
  <si>
    <t>rijder</t>
  </si>
  <si>
    <t>opm.</t>
  </si>
  <si>
    <t>Abu Dhabi</t>
  </si>
  <si>
    <t>ronde record</t>
  </si>
  <si>
    <t>jaar</t>
  </si>
  <si>
    <t>uur</t>
  </si>
  <si>
    <t>oude uitslagen</t>
  </si>
  <si>
    <t>oude pos 1</t>
  </si>
  <si>
    <t>oude pos 2</t>
  </si>
  <si>
    <t>oude pos 3</t>
  </si>
  <si>
    <t>tot.</t>
  </si>
  <si>
    <t>GP1</t>
  </si>
  <si>
    <t>GP2</t>
  </si>
  <si>
    <t>GP3</t>
  </si>
  <si>
    <t>GP4</t>
  </si>
  <si>
    <t>GP5</t>
  </si>
  <si>
    <t>GP6</t>
  </si>
  <si>
    <t>GP7</t>
  </si>
  <si>
    <t>GP8</t>
  </si>
  <si>
    <t>GP9</t>
  </si>
  <si>
    <t>GP10</t>
  </si>
  <si>
    <t>GP11</t>
  </si>
  <si>
    <t>GP12</t>
  </si>
  <si>
    <t>GP13</t>
  </si>
  <si>
    <t>GP14</t>
  </si>
  <si>
    <t>GP15</t>
  </si>
  <si>
    <t>GP16</t>
  </si>
  <si>
    <t>GP17</t>
  </si>
  <si>
    <t>pos.</t>
  </si>
  <si>
    <t>tijd./versch.</t>
  </si>
  <si>
    <t>punt</t>
  </si>
  <si>
    <t>geboorte datum :</t>
  </si>
  <si>
    <t>1e GP :</t>
  </si>
  <si>
    <t>test rijders :</t>
  </si>
  <si>
    <t>teambaas :</t>
  </si>
  <si>
    <t>eerste GP :</t>
  </si>
  <si>
    <t>thuisbasis :</t>
  </si>
  <si>
    <t>website :</t>
  </si>
  <si>
    <t>motor :</t>
  </si>
  <si>
    <t>chassis :</t>
  </si>
  <si>
    <t>pole positions :</t>
  </si>
  <si>
    <t>overwinningen :</t>
  </si>
  <si>
    <t>snelste ronden :</t>
  </si>
  <si>
    <t>punten :</t>
  </si>
  <si>
    <t>hoogste finish :</t>
  </si>
  <si>
    <t>aantal pole positions :</t>
  </si>
  <si>
    <t>aantal snelste ronden :</t>
  </si>
  <si>
    <t>constructeurs titels :</t>
  </si>
  <si>
    <t>Lewis Hamilton</t>
  </si>
  <si>
    <t>Sebastian Vettel</t>
  </si>
  <si>
    <t>naam volledig</t>
  </si>
  <si>
    <t>overw.</t>
  </si>
  <si>
    <t>s.r.</t>
  </si>
  <si>
    <t>top3</t>
  </si>
  <si>
    <t>pole :</t>
  </si>
  <si>
    <t>jaar :</t>
  </si>
  <si>
    <t>tijd :</t>
  </si>
  <si>
    <t>aantal ronden :</t>
  </si>
  <si>
    <t>datum :</t>
  </si>
  <si>
    <t>NL-tijd :</t>
  </si>
  <si>
    <t>land :</t>
  </si>
  <si>
    <t>plaats :</t>
  </si>
  <si>
    <t>circuit :</t>
  </si>
  <si>
    <t>lengte :</t>
  </si>
  <si>
    <t>dnf</t>
  </si>
  <si>
    <t>naam</t>
  </si>
  <si>
    <t>progr.</t>
  </si>
  <si>
    <t>dsq</t>
  </si>
  <si>
    <t>¬</t>
  </si>
  <si>
    <t>p</t>
  </si>
  <si>
    <t>q</t>
  </si>
  <si>
    <t>st.</t>
  </si>
  <si>
    <t>vorige pos.</t>
  </si>
  <si>
    <t>Q1</t>
  </si>
  <si>
    <t>Q2</t>
  </si>
  <si>
    <t>Q3</t>
  </si>
  <si>
    <t>=</t>
  </si>
  <si>
    <t>GP 1 SO</t>
  </si>
  <si>
    <t>GP 2 SO</t>
  </si>
  <si>
    <t>GP 3 SO</t>
  </si>
  <si>
    <t>GP 4 SO</t>
  </si>
  <si>
    <t>GP 5 SO</t>
  </si>
  <si>
    <t>GP 6 SO</t>
  </si>
  <si>
    <t>GP 7 SO</t>
  </si>
  <si>
    <t>GP 8 SO</t>
  </si>
  <si>
    <t>GP 9 SO</t>
  </si>
  <si>
    <t>GP 10 SO</t>
  </si>
  <si>
    <t>GP 11 SO</t>
  </si>
  <si>
    <t>GP 12 SO</t>
  </si>
  <si>
    <t>GP 13 SO</t>
  </si>
  <si>
    <t>GP 14 SO</t>
  </si>
  <si>
    <t>GP 15 SO</t>
  </si>
  <si>
    <t>GP 16 SO</t>
  </si>
  <si>
    <t>GP 17 SO</t>
  </si>
  <si>
    <t>*</t>
  </si>
  <si>
    <t>4</t>
  </si>
  <si>
    <t>GP 18</t>
  </si>
  <si>
    <t>GP 19</t>
  </si>
  <si>
    <t>GP 18 SO</t>
  </si>
  <si>
    <t>GP 19 SO</t>
  </si>
  <si>
    <t>GP 18 VT1</t>
  </si>
  <si>
    <t>GP 18 VT2</t>
  </si>
  <si>
    <t>GP 18 VT3</t>
  </si>
  <si>
    <t>GP 18 KW</t>
  </si>
  <si>
    <t>GP 19 VT1</t>
  </si>
  <si>
    <t>GP 19 VT2</t>
  </si>
  <si>
    <t>GP 19 VT3</t>
  </si>
  <si>
    <t>GP 19 KW</t>
  </si>
  <si>
    <t>pos23</t>
  </si>
  <si>
    <t>pos24</t>
  </si>
  <si>
    <t>Mercedes</t>
  </si>
  <si>
    <t>N. Hulkenberg</t>
  </si>
  <si>
    <t>Canada</t>
  </si>
  <si>
    <t>1950</t>
  </si>
  <si>
    <t>Maranello, Italië</t>
  </si>
  <si>
    <t>GP18</t>
  </si>
  <si>
    <t>GP19</t>
  </si>
  <si>
    <t>Melbourne</t>
  </si>
  <si>
    <t>Shanghai</t>
  </si>
  <si>
    <t>Monte Carlo</t>
  </si>
  <si>
    <t>Silverstone</t>
  </si>
  <si>
    <t>Monza</t>
  </si>
  <si>
    <t>Suzuka</t>
  </si>
  <si>
    <t>rijders</t>
  </si>
  <si>
    <t xml:space="preserve"> 107% = </t>
  </si>
  <si>
    <t>dnq</t>
  </si>
  <si>
    <t>Barcelona</t>
  </si>
  <si>
    <t>Pirelli</t>
  </si>
  <si>
    <t>Mexico</t>
  </si>
  <si>
    <t>S. Pérez</t>
  </si>
  <si>
    <t>D. Ricciardo</t>
  </si>
  <si>
    <t>R. Grosjean</t>
  </si>
  <si>
    <t>V. Bottas</t>
  </si>
  <si>
    <t>Q. 107% tijd</t>
  </si>
  <si>
    <t>dns</t>
  </si>
  <si>
    <t>Bahrein</t>
  </si>
  <si>
    <t>Austin</t>
  </si>
  <si>
    <t>Sakhir</t>
  </si>
  <si>
    <t>Toro Rosso</t>
  </si>
  <si>
    <t>Romain Grosjean</t>
  </si>
  <si>
    <t>Nico Hulkenberg</t>
  </si>
  <si>
    <t>Sergio Pérez</t>
  </si>
  <si>
    <t>Daniel Ricciardo</t>
  </si>
  <si>
    <t>Frankrijk</t>
  </si>
  <si>
    <t>afbeelding</t>
  </si>
  <si>
    <t>Valtteri Bottas</t>
  </si>
  <si>
    <t>107 % tijd (KW)</t>
  </si>
  <si>
    <t>D. Kvyat</t>
  </si>
  <si>
    <t>44</t>
  </si>
  <si>
    <t>27</t>
  </si>
  <si>
    <t>77</t>
  </si>
  <si>
    <t>K. Magnussen</t>
  </si>
  <si>
    <t>Rusland</t>
  </si>
  <si>
    <t>Zweden</t>
  </si>
  <si>
    <t>leeftijd :</t>
  </si>
  <si>
    <t>Oostenrijk</t>
  </si>
  <si>
    <t>Spielberg</t>
  </si>
  <si>
    <t>Christian Horner</t>
  </si>
  <si>
    <t>0</t>
  </si>
  <si>
    <t>16</t>
  </si>
  <si>
    <t>155</t>
  </si>
  <si>
    <t>5</t>
  </si>
  <si>
    <t>Franz Tost</t>
  </si>
  <si>
    <t>Maart</t>
  </si>
  <si>
    <t>April</t>
  </si>
  <si>
    <t>Mei</t>
  </si>
  <si>
    <t>Juni</t>
  </si>
  <si>
    <t>Juli</t>
  </si>
  <si>
    <t>Augustus</t>
  </si>
  <si>
    <t>September</t>
  </si>
  <si>
    <t>Oktober</t>
  </si>
  <si>
    <t>November</t>
  </si>
  <si>
    <t>M. Verstappen</t>
  </si>
  <si>
    <t>GP 20</t>
  </si>
  <si>
    <t>Max Verstappen</t>
  </si>
  <si>
    <t>33</t>
  </si>
  <si>
    <t>55</t>
  </si>
  <si>
    <t>1970</t>
  </si>
  <si>
    <t>Toto Wolff</t>
  </si>
  <si>
    <t>Renault</t>
  </si>
  <si>
    <t>133</t>
  </si>
  <si>
    <t>Nederland</t>
  </si>
  <si>
    <t>Australië 2015</t>
  </si>
  <si>
    <t>Red Bull</t>
  </si>
  <si>
    <t>www.mercedesamgf1.com</t>
  </si>
  <si>
    <t>www.williamsf1.com</t>
  </si>
  <si>
    <t>www.formula1.ferrari.com</t>
  </si>
  <si>
    <t>www.forceindiaf1.com</t>
  </si>
  <si>
    <t>www.scuderiatororosso.com</t>
  </si>
  <si>
    <t>www.mclaren.com/formula1</t>
  </si>
  <si>
    <t>USA 2007</t>
  </si>
  <si>
    <t>Australië 2001</t>
  </si>
  <si>
    <t>Australië 2011</t>
  </si>
  <si>
    <t>Bahrein 2010</t>
  </si>
  <si>
    <t>Europa 2009</t>
  </si>
  <si>
    <t>Australië 2007</t>
  </si>
  <si>
    <t>Engeland 2011</t>
  </si>
  <si>
    <t>Australië 2014</t>
  </si>
  <si>
    <t>Australië 2013</t>
  </si>
  <si>
    <t>Kimi Raïkkönen</t>
  </si>
  <si>
    <t>C. Sainz</t>
  </si>
  <si>
    <t>Carlos Sainz</t>
  </si>
  <si>
    <t>GP20</t>
  </si>
  <si>
    <t>Haas F1</t>
  </si>
  <si>
    <t>GP 20 SO</t>
  </si>
  <si>
    <t>GP 20 VT1</t>
  </si>
  <si>
    <t>GP 20 VT2</t>
  </si>
  <si>
    <t>GP 20 VT3</t>
  </si>
  <si>
    <t>GP 20 KW</t>
  </si>
  <si>
    <t>Haas</t>
  </si>
  <si>
    <t>Verenigde Staten</t>
  </si>
  <si>
    <t>Groot-Brittannië</t>
  </si>
  <si>
    <t>Montreal</t>
  </si>
  <si>
    <t>Bakoe</t>
  </si>
  <si>
    <t>Mexico-Stad</t>
  </si>
  <si>
    <t>Boedapest</t>
  </si>
  <si>
    <t>Sotsji</t>
  </si>
  <si>
    <t>Sao Paulo</t>
  </si>
  <si>
    <t>nr21</t>
  </si>
  <si>
    <t>tijd21</t>
  </si>
  <si>
    <t>nr22</t>
  </si>
  <si>
    <t>tijd22</t>
  </si>
  <si>
    <t>* = 107%  van de snelste tijd gereden in Q1 
(deze tijd staat niet in dit overzicht)</t>
  </si>
  <si>
    <t>Kevin Magnussen</t>
  </si>
  <si>
    <t>#</t>
  </si>
  <si>
    <t>Brackley, Groot-Brittannië</t>
  </si>
  <si>
    <t>20</t>
  </si>
  <si>
    <t>Denemarken</t>
  </si>
  <si>
    <t>Bahrain International Circuit</t>
  </si>
  <si>
    <t>Shanghai International Circuit</t>
  </si>
  <si>
    <t>Sochi Autodrom</t>
  </si>
  <si>
    <t>Baku City Circuit</t>
  </si>
  <si>
    <t>Red Bull Ring</t>
  </si>
  <si>
    <t>Hungaroring</t>
  </si>
  <si>
    <t>Francorchamps</t>
  </si>
  <si>
    <t>Marina Bay Street Circuit</t>
  </si>
  <si>
    <t>Circuit of the Americas</t>
  </si>
  <si>
    <t>Autodromo Hermanos Rodriguez</t>
  </si>
  <si>
    <t>Yas Marina Circuit</t>
  </si>
  <si>
    <t>Verenigde Arabische Emiraten</t>
  </si>
  <si>
    <t>2</t>
  </si>
  <si>
    <t>1978</t>
  </si>
  <si>
    <t>Grove, Groot-Brittannië</t>
  </si>
  <si>
    <t>1 (114x)</t>
  </si>
  <si>
    <t>1997</t>
  </si>
  <si>
    <t>Milton Keynes, Groot Brittannië</t>
  </si>
  <si>
    <t>Silverstone, Groot-Bittannië</t>
  </si>
  <si>
    <t>1985</t>
  </si>
  <si>
    <t>Faenza, Italië</t>
  </si>
  <si>
    <t>1 (1x)</t>
  </si>
  <si>
    <t>1993</t>
  </si>
  <si>
    <t>Hinwil, Zwitserland</t>
  </si>
  <si>
    <t>1966</t>
  </si>
  <si>
    <t>Woking, Groot-Brittannië</t>
  </si>
  <si>
    <t>1 (182x)</t>
  </si>
  <si>
    <t>2016</t>
  </si>
  <si>
    <t>Kannapolis, Verenigde Staten</t>
  </si>
  <si>
    <t>1986</t>
  </si>
  <si>
    <t>Enstone, Groot-Brittannië</t>
  </si>
  <si>
    <t>www.haasf1team.com</t>
  </si>
  <si>
    <t>www.redbullracing.com</t>
  </si>
  <si>
    <t>Guenther Steiner</t>
  </si>
  <si>
    <t>ronde record van huidige circuit lay-out</t>
  </si>
  <si>
    <t>L. Stroll</t>
  </si>
  <si>
    <t>18</t>
  </si>
  <si>
    <t>Australië 2017</t>
  </si>
  <si>
    <t>5 (1x)</t>
  </si>
  <si>
    <t>13</t>
  </si>
  <si>
    <t>1 (20x)</t>
  </si>
  <si>
    <t>Mercedes AMG Petronas Motorsport</t>
  </si>
  <si>
    <t>Circuit de Monaco</t>
  </si>
  <si>
    <t>Circuit Gilles Villeneuve</t>
  </si>
  <si>
    <t>Silverstone Circuit</t>
  </si>
  <si>
    <t>Circuit National de Francorchamps</t>
  </si>
  <si>
    <t>Autodromo Nazionale di Monza</t>
  </si>
  <si>
    <t>Suzuka International Racing Course</t>
  </si>
  <si>
    <t>Autódromo José Carlos Pace</t>
  </si>
  <si>
    <t>Lance Stroll</t>
  </si>
  <si>
    <t>P. Gasly</t>
  </si>
  <si>
    <t>A. Giovinazzi</t>
  </si>
  <si>
    <t>(*) ronde record van huidige circuit lay-out</t>
  </si>
  <si>
    <t>ronde record (*) :</t>
  </si>
  <si>
    <t>C. Leclerc</t>
  </si>
  <si>
    <t>totaal aantal punten rijders</t>
  </si>
  <si>
    <t>totaal aantal punten teams</t>
  </si>
  <si>
    <t>totaal van aantal races</t>
  </si>
  <si>
    <t>controle cellen</t>
  </si>
  <si>
    <t>Azerbeizjan</t>
  </si>
  <si>
    <t>Brazilë</t>
  </si>
  <si>
    <t>GP 21</t>
  </si>
  <si>
    <t>GP 21 VT1</t>
  </si>
  <si>
    <t>GP 21 VT2</t>
  </si>
  <si>
    <t>GP 21 VT3</t>
  </si>
  <si>
    <t>GP 21 KW</t>
  </si>
  <si>
    <t>GP 21 SO</t>
  </si>
  <si>
    <t>GP21</t>
  </si>
  <si>
    <t>Charles Leclerc</t>
  </si>
  <si>
    <t>Pierre Gasly</t>
  </si>
  <si>
    <t>Hockenheimring</t>
  </si>
  <si>
    <t>Hockenheim</t>
  </si>
  <si>
    <t>Le Castellet</t>
  </si>
  <si>
    <t>Circuit Paul Ricard</t>
  </si>
  <si>
    <t>Australië 2018</t>
  </si>
  <si>
    <t>Nieuw Zeeland</t>
  </si>
  <si>
    <t>10</t>
  </si>
  <si>
    <t>Maleisië 2017</t>
  </si>
  <si>
    <t>Aston Martin Red Bull Racing</t>
  </si>
  <si>
    <t>www.renaultsport.com</t>
  </si>
  <si>
    <t>Cyril Abiteboul</t>
  </si>
  <si>
    <t>Frédéric Vasseur</t>
  </si>
  <si>
    <t>R. Kubica</t>
  </si>
  <si>
    <t>L. Norris</t>
  </si>
  <si>
    <t>P. de la Rosa</t>
  </si>
  <si>
    <t>M. Schumacher</t>
  </si>
  <si>
    <t>R. Barrichello</t>
  </si>
  <si>
    <t>dagen</t>
  </si>
  <si>
    <t>uren</t>
  </si>
  <si>
    <t>minuten</t>
  </si>
  <si>
    <t># punt
verschil</t>
  </si>
  <si>
    <t>99</t>
  </si>
  <si>
    <t>Australië 2019</t>
  </si>
  <si>
    <t>26</t>
  </si>
  <si>
    <t>Polen</t>
  </si>
  <si>
    <t>Hongarijë 2006</t>
  </si>
  <si>
    <t>A. Albon</t>
  </si>
  <si>
    <t>Thailand</t>
  </si>
  <si>
    <t>Racing Point</t>
  </si>
  <si>
    <t>Alfa Romeo</t>
  </si>
  <si>
    <t>88</t>
  </si>
  <si>
    <t>63</t>
  </si>
  <si>
    <t>23</t>
  </si>
  <si>
    <t>G. Russell</t>
  </si>
  <si>
    <t>F1-2019  ©DvH</t>
  </si>
  <si>
    <t>Lando Norris</t>
  </si>
  <si>
    <t>Robert Kubica</t>
  </si>
  <si>
    <t>George Russell</t>
  </si>
  <si>
    <t>Alexander Albon</t>
  </si>
  <si>
    <t>Daniil Kvyat</t>
  </si>
  <si>
    <t>Antonio Giovinazzi</t>
  </si>
  <si>
    <t>t/m 2018</t>
  </si>
  <si>
    <t>December</t>
  </si>
  <si>
    <t>Kalender 2019</t>
  </si>
  <si>
    <t>S.R. &lt; 10</t>
  </si>
  <si>
    <t>S.R.</t>
  </si>
  <si>
    <t>Teams</t>
  </si>
  <si>
    <t>Rijders</t>
  </si>
  <si>
    <t>Melbourne Grand Prix Circuit</t>
  </si>
  <si>
    <t>S. Perez</t>
  </si>
  <si>
    <t>Force India</t>
  </si>
  <si>
    <t>Circuit de Barcelona-Catalunya</t>
  </si>
  <si>
    <t>auto</t>
  </si>
  <si>
    <t>Alfa Romeo Racing</t>
  </si>
  <si>
    <t>Rich Energy Haas F1 Team</t>
  </si>
  <si>
    <t>Renault F1 Team</t>
  </si>
  <si>
    <t>ROKiT Williams Racing</t>
  </si>
  <si>
    <t>Scuderia Ferrari Mission Winnow</t>
  </si>
  <si>
    <t>McLaren F1 Team</t>
  </si>
  <si>
    <t>Racing Point F1 Team</t>
  </si>
  <si>
    <t>Red Bull Toro Rosso Honda</t>
  </si>
  <si>
    <t>W10</t>
  </si>
  <si>
    <t>1 (78x)</t>
  </si>
  <si>
    <t>93</t>
  </si>
  <si>
    <t>57</t>
  </si>
  <si>
    <t>SF90</t>
  </si>
  <si>
    <t>Mattia Binotto</t>
  </si>
  <si>
    <t>1 (236x)</t>
  </si>
  <si>
    <t>215</t>
  </si>
  <si>
    <t>247</t>
  </si>
  <si>
    <t>RB15</t>
  </si>
  <si>
    <t>1 (59x)</t>
  </si>
  <si>
    <t>60</t>
  </si>
  <si>
    <t>R.S.19</t>
  </si>
  <si>
    <t>VF-19</t>
  </si>
  <si>
    <t>4 (1x)</t>
  </si>
  <si>
    <t>MCL34</t>
  </si>
  <si>
    <t>Zak Brown</t>
  </si>
  <si>
    <t>2018</t>
  </si>
  <si>
    <t>Otmar Szafnauer</t>
  </si>
  <si>
    <t>STR14</t>
  </si>
  <si>
    <t>FW42</t>
  </si>
  <si>
    <t>Claire Williams</t>
  </si>
  <si>
    <t>129</t>
  </si>
  <si>
    <t>C38</t>
  </si>
  <si>
    <t>Ferrari 064</t>
  </si>
  <si>
    <t>Ferrari 062</t>
  </si>
  <si>
    <t>Renault E-Tech 19</t>
  </si>
  <si>
    <t>Mercedes-AMG F1 M10 EQ Power+</t>
  </si>
  <si>
    <t>BWT Mercedes</t>
  </si>
  <si>
    <t>RP19</t>
  </si>
  <si>
    <t>Honda RA619H</t>
  </si>
  <si>
    <t>www.sauber-group.com</t>
  </si>
  <si>
    <t>totaal van aantal seizoen</t>
  </si>
  <si>
    <t>+20,8</t>
  </si>
  <si>
    <t>+22,5</t>
  </si>
  <si>
    <t>+57,1</t>
  </si>
  <si>
    <t>+58,2</t>
  </si>
  <si>
    <t>+87,1</t>
  </si>
  <si>
    <t>+ 1 r.</t>
  </si>
  <si>
    <t>+ 2 r.</t>
  </si>
  <si>
    <t>+ 3 r.</t>
  </si>
  <si>
    <t>pen.</t>
  </si>
  <si>
    <t>+2,9</t>
  </si>
  <si>
    <t>+6,1</t>
  </si>
  <si>
    <t>+6,4</t>
  </si>
  <si>
    <t>+36,0</t>
  </si>
  <si>
    <t>+45,7</t>
  </si>
  <si>
    <t>+47,4</t>
  </si>
  <si>
    <t>+58,0</t>
  </si>
  <si>
    <t>+62,6</t>
  </si>
  <si>
    <t>+63,6</t>
  </si>
  <si>
    <t>+64,5</t>
  </si>
  <si>
    <t>+6,5</t>
  </si>
  <si>
    <t>+13,7</t>
  </si>
  <si>
    <t>+27,6</t>
  </si>
  <si>
    <t>+31,2</t>
  </si>
  <si>
    <t>+89,3</t>
  </si>
  <si>
    <t>[pit]</t>
  </si>
  <si>
    <t>+1,5</t>
  </si>
  <si>
    <t>+11,7</t>
  </si>
  <si>
    <t>+17,4</t>
  </si>
  <si>
    <t>+69,1</t>
  </si>
  <si>
    <t>+76,4</t>
  </si>
  <si>
    <t>+83,8</t>
  </si>
  <si>
    <t>+100,2</t>
  </si>
  <si>
    <t>+103,8</t>
  </si>
  <si>
    <t>+4,0</t>
  </si>
  <si>
    <t>+7,6</t>
  </si>
  <si>
    <t>+9,1</t>
  </si>
  <si>
    <t>+13,3</t>
  </si>
  <si>
    <t>+19,5</t>
  </si>
  <si>
    <t>+28,1</t>
  </si>
  <si>
    <t>+32,3</t>
  </si>
  <si>
    <t>+33,0</t>
  </si>
  <si>
    <t>+34,6</t>
  </si>
  <si>
    <t>+35,4</t>
  </si>
  <si>
    <t>+36,7</t>
  </si>
  <si>
    <t>+39,2</t>
  </si>
  <si>
    <t>+41,8</t>
  </si>
  <si>
    <t>+46,8</t>
  </si>
  <si>
    <t>+47,6</t>
  </si>
  <si>
    <t>+2,6</t>
  </si>
  <si>
    <t>+3,1</t>
  </si>
  <si>
    <t>+5,5</t>
  </si>
  <si>
    <t>+9,9</t>
  </si>
  <si>
    <t>+53,4</t>
  </si>
  <si>
    <t>+54,5</t>
  </si>
  <si>
    <t>+55,2</t>
  </si>
  <si>
    <t>+60,8</t>
  </si>
  <si>
    <t>+61,0</t>
  </si>
  <si>
    <t>+66,8</t>
  </si>
  <si>
    <t>N. Latifi</t>
  </si>
  <si>
    <t>+3,6</t>
  </si>
  <si>
    <t>+4,6</t>
  </si>
  <si>
    <t>+51,0</t>
  </si>
  <si>
    <t>+57,6</t>
  </si>
  <si>
    <t>gem. startpositie per team</t>
  </si>
  <si>
    <t>+18,0</t>
  </si>
  <si>
    <t>+18,9</t>
  </si>
  <si>
    <t>+34,9</t>
  </si>
  <si>
    <t>+62,7</t>
  </si>
  <si>
    <t>+95,4</t>
  </si>
  <si>
    <t>+2,7</t>
  </si>
  <si>
    <t>+19,6</t>
  </si>
  <si>
    <t>+22,8</t>
  </si>
  <si>
    <t>+24,9</t>
  </si>
  <si>
    <t>+30,1</t>
  </si>
  <si>
    <t>+39,4</t>
  </si>
  <si>
    <t>+53,6</t>
  </si>
  <si>
    <t>+65,5</t>
  </si>
  <si>
    <t>+66,7</t>
  </si>
  <si>
    <t>+72,7</t>
  </si>
  <si>
    <t>+74,2</t>
  </si>
  <si>
    <t>+75,6</t>
  </si>
  <si>
    <t>+81,0</t>
  </si>
  <si>
    <t>+7,3</t>
  </si>
  <si>
    <t>+8,3</t>
  </si>
  <si>
    <t>+8,9</t>
  </si>
  <si>
    <t>+9,5</t>
  </si>
  <si>
    <t>+10,0</t>
  </si>
  <si>
    <t>+16,8</t>
  </si>
  <si>
    <t>+18,7</t>
  </si>
  <si>
    <t>+26,4</t>
  </si>
  <si>
    <t>+42,2</t>
  </si>
  <si>
    <t>+43,8</t>
  </si>
  <si>
    <t>+17,7</t>
  </si>
  <si>
    <t>+61,4</t>
  </si>
  <si>
    <t>+65,2</t>
  </si>
  <si>
    <t>A. Albon¹</t>
  </si>
  <si>
    <t>P. Gasly¹</t>
  </si>
  <si>
    <t>+0,9</t>
  </si>
  <si>
    <t>+12,5</t>
  </si>
  <si>
    <t>+81,3</t>
  </si>
  <si>
    <t>+84,4</t>
  </si>
  <si>
    <t>+89,6</t>
  </si>
  <si>
    <t>+106,6</t>
  </si>
  <si>
    <t>+109,1</t>
  </si>
  <si>
    <t>+109,8</t>
  </si>
  <si>
    <t>+0,8</t>
  </si>
  <si>
    <t>+35,1</t>
  </si>
  <si>
    <t>+45,5</t>
  </si>
  <si>
    <t>+58,1</t>
  </si>
  <si>
    <t>+59,3</t>
  </si>
  <si>
    <t>+73,8</t>
  </si>
  <si>
    <t>+74,4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</si>
</sst>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d\ mmmm"/>
    <numFmt numFmtId="165" formatCode="0.000"/>
    <numFmt numFmtId="166" formatCode="m:ss.000"/>
    <numFmt numFmtId="167" formatCode="h:mm:ss.000"/>
    <numFmt numFmtId="168" formatCode="mm:ss.000"/>
    <numFmt numFmtId="169" formatCode="h:mm;@"/>
    <numFmt numFmtId="170" formatCode="dd\ mmmm"/>
    <numFmt numFmtId="171" formatCode="0;[Red]0"/>
    <numFmt numFmtId="172" formatCode="\+\ s.000"/>
  </numFmts>
  <fonts count="92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Wingdings 3"/>
      <family val="1"/>
      <charset val="2"/>
    </font>
    <font>
      <sz val="9"/>
      <name val="Wingdings 3"/>
      <family val="1"/>
      <charset val="2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28"/>
      <color indexed="23"/>
      <name val="Calibri"/>
      <family val="2"/>
      <scheme val="minor"/>
    </font>
    <font>
      <i/>
      <sz val="10"/>
      <color indexed="23"/>
      <name val="Calibri"/>
      <family val="2"/>
      <scheme val="minor"/>
    </font>
    <font>
      <sz val="6"/>
      <color indexed="23"/>
      <name val="Calibri"/>
      <family val="2"/>
      <scheme val="minor"/>
    </font>
    <font>
      <b/>
      <sz val="12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indexed="23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indexed="9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2"/>
      <color indexed="63"/>
      <name val="Calibri"/>
      <family val="2"/>
      <scheme val="minor"/>
    </font>
    <font>
      <sz val="10"/>
      <color indexed="63"/>
      <name val="Calibri"/>
      <family val="2"/>
      <scheme val="minor"/>
    </font>
    <font>
      <i/>
      <sz val="9"/>
      <color indexed="22"/>
      <name val="Calibri"/>
      <family val="2"/>
      <scheme val="minor"/>
    </font>
    <font>
      <b/>
      <sz val="12"/>
      <color indexed="9"/>
      <name val="Calibri"/>
      <family val="2"/>
      <scheme val="minor"/>
    </font>
    <font>
      <i/>
      <sz val="9"/>
      <name val="Calibri"/>
      <family val="2"/>
      <scheme val="minor"/>
    </font>
    <font>
      <i/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Webdings"/>
      <family val="1"/>
      <charset val="2"/>
    </font>
    <font>
      <sz val="10"/>
      <color rgb="FF12132F"/>
      <name val="Calibri"/>
      <family val="2"/>
      <scheme val="minor"/>
    </font>
    <font>
      <u/>
      <sz val="10"/>
      <color theme="10"/>
      <name val="Arial"/>
      <family val="2"/>
    </font>
    <font>
      <b/>
      <i/>
      <sz val="10"/>
      <color rgb="FFFF0000"/>
      <name val="Calibri"/>
      <family val="2"/>
      <scheme val="minor"/>
    </font>
    <font>
      <b/>
      <i/>
      <sz val="10"/>
      <color theme="4" tint="-0.499984740745262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rgb="FFE7007B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b/>
      <sz val="28"/>
      <color theme="4" tint="-0.499984740745262"/>
      <name val="Calibri"/>
      <family val="2"/>
      <scheme val="minor"/>
    </font>
    <font>
      <i/>
      <sz val="10"/>
      <color theme="4" tint="-0.499984740745262"/>
      <name val="Calibri"/>
      <family val="2"/>
      <scheme val="minor"/>
    </font>
    <font>
      <sz val="6"/>
      <color theme="4" tint="-0.499984740745262"/>
      <name val="Calibri"/>
      <family val="2"/>
      <scheme val="minor"/>
    </font>
    <font>
      <sz val="8"/>
      <color theme="4" tint="-0.499984740745262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sz val="9"/>
      <color theme="4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28"/>
      <color theme="0"/>
      <name val="Calibri"/>
      <family val="2"/>
      <scheme val="minor"/>
    </font>
    <font>
      <i/>
      <sz val="9"/>
      <color theme="0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b/>
      <sz val="28"/>
      <name val="Calibri"/>
      <family val="2"/>
      <scheme val="minor"/>
    </font>
    <font>
      <b/>
      <sz val="14"/>
      <name val="Calibri"/>
      <family val="2"/>
      <scheme val="minor"/>
    </font>
    <font>
      <sz val="6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8"/>
      <color theme="0" tint="-0.1499984740745262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7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0"/>
      <name val="Arial"/>
      <family val="2"/>
    </font>
    <font>
      <b/>
      <i/>
      <sz val="10"/>
      <color rgb="FFF297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28"/>
      <color theme="1" tint="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i/>
      <sz val="11"/>
      <color theme="0" tint="-0.34998626667073579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b/>
      <sz val="28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7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12"/>
      <color theme="1" tint="0.499984740745262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4" tint="-0.249977111117893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sz val="6"/>
      <color theme="0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theme="1" tint="0.249977111117893"/>
      </bottom>
      <diagonal/>
    </border>
    <border>
      <left/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medium">
        <color indexed="64"/>
      </top>
      <bottom style="thin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medium">
        <color indexed="64"/>
      </bottom>
      <diagonal/>
    </border>
    <border>
      <left style="thin">
        <color theme="1" tint="0.249977111117893"/>
      </left>
      <right/>
      <top style="medium">
        <color indexed="64"/>
      </top>
      <bottom style="thin">
        <color theme="1" tint="0.249977111117893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theme="0" tint="-0.34998626667073579"/>
      </bottom>
      <diagonal/>
    </border>
    <border>
      <left style="thin">
        <color indexed="64"/>
      </left>
      <right/>
      <top/>
      <bottom style="thin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1" tint="0.249977111117893"/>
      </right>
      <top style="medium">
        <color indexed="64"/>
      </top>
      <bottom style="thin">
        <color theme="1" tint="0.249977111117893"/>
      </bottom>
      <diagonal/>
    </border>
    <border>
      <left/>
      <right style="thin">
        <color theme="1" tint="0.249977111117893"/>
      </right>
      <top style="thin">
        <color theme="1" tint="0.249977111117893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249977111117893"/>
      </left>
      <right style="thin">
        <color theme="1" tint="0.249977111117893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/>
      <diagonal/>
    </border>
  </borders>
  <cellStyleXfs count="4">
    <xf numFmtId="0" fontId="0" fillId="0" borderId="0"/>
    <xf numFmtId="0" fontId="1" fillId="0" borderId="0"/>
    <xf numFmtId="0" fontId="31" fillId="0" borderId="0" applyNumberFormat="0" applyFill="0" applyBorder="0" applyAlignment="0" applyProtection="0"/>
    <xf numFmtId="9" fontId="89" fillId="0" borderId="0" applyFont="0" applyFill="0" applyBorder="0" applyAlignment="0" applyProtection="0"/>
  </cellStyleXfs>
  <cellXfs count="806">
    <xf numFmtId="0" fontId="0" fillId="0" borderId="0" xfId="0"/>
    <xf numFmtId="0" fontId="5" fillId="0" borderId="0" xfId="0" applyFont="1" applyFill="1"/>
    <xf numFmtId="0" fontId="5" fillId="0" borderId="0" xfId="0" applyFont="1" applyFill="1" applyBorder="1"/>
    <xf numFmtId="0" fontId="7" fillId="2" borderId="1" xfId="0" applyFont="1" applyFill="1" applyBorder="1" applyAlignment="1" applyProtection="1">
      <alignment horizontal="center"/>
      <protection locked="0"/>
    </xf>
    <xf numFmtId="0" fontId="7" fillId="0" borderId="2" xfId="0" applyFont="1" applyFill="1" applyBorder="1" applyAlignment="1" applyProtection="1">
      <alignment horizontal="center"/>
      <protection locked="0"/>
    </xf>
    <xf numFmtId="166" fontId="7" fillId="0" borderId="3" xfId="0" applyNumberFormat="1" applyFont="1" applyFill="1" applyBorder="1" applyAlignment="1" applyProtection="1">
      <alignment horizont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166" fontId="7" fillId="3" borderId="4" xfId="0" applyNumberFormat="1" applyFont="1" applyFill="1" applyBorder="1" applyAlignment="1" applyProtection="1">
      <alignment horizontal="center"/>
      <protection locked="0"/>
    </xf>
    <xf numFmtId="0" fontId="7" fillId="0" borderId="5" xfId="0" applyFont="1" applyFill="1" applyBorder="1" applyAlignment="1" applyProtection="1">
      <alignment horizontal="center"/>
      <protection locked="0"/>
    </xf>
    <xf numFmtId="0" fontId="7" fillId="0" borderId="6" xfId="0" applyFont="1" applyFill="1" applyBorder="1" applyAlignment="1" applyProtection="1">
      <alignment horizontal="center"/>
      <protection locked="0"/>
    </xf>
    <xf numFmtId="166" fontId="7" fillId="0" borderId="7" xfId="0" applyNumberFormat="1" applyFont="1" applyFill="1" applyBorder="1" applyAlignment="1" applyProtection="1">
      <alignment horizontal="center"/>
      <protection locked="0"/>
    </xf>
    <xf numFmtId="0" fontId="7" fillId="3" borderId="6" xfId="0" applyFont="1" applyFill="1" applyBorder="1" applyAlignment="1" applyProtection="1">
      <alignment horizontal="center"/>
      <protection locked="0"/>
    </xf>
    <xf numFmtId="166" fontId="7" fillId="3" borderId="7" xfId="0" applyNumberFormat="1" applyFont="1" applyFill="1" applyBorder="1" applyAlignment="1" applyProtection="1">
      <alignment horizontal="center"/>
      <protection locked="0"/>
    </xf>
    <xf numFmtId="166" fontId="7" fillId="0" borderId="0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5" fillId="2" borderId="11" xfId="0" applyFont="1" applyFill="1" applyBorder="1" applyProtection="1">
      <protection locked="0"/>
    </xf>
    <xf numFmtId="0" fontId="5" fillId="0" borderId="12" xfId="0" applyFont="1" applyFill="1" applyBorder="1" applyAlignment="1" applyProtection="1">
      <alignment horizontal="left"/>
      <protection locked="0"/>
    </xf>
    <xf numFmtId="166" fontId="5" fillId="0" borderId="13" xfId="0" applyNumberFormat="1" applyFont="1" applyFill="1" applyBorder="1" applyAlignment="1" applyProtection="1">
      <alignment horizontal="left"/>
      <protection locked="0"/>
    </xf>
    <xf numFmtId="0" fontId="5" fillId="3" borderId="12" xfId="0" applyFont="1" applyFill="1" applyBorder="1" applyAlignment="1" applyProtection="1">
      <alignment horizontal="left"/>
      <protection locked="0"/>
    </xf>
    <xf numFmtId="166" fontId="5" fillId="3" borderId="13" xfId="0" applyNumberFormat="1" applyFont="1" applyFill="1" applyBorder="1" applyAlignment="1" applyProtection="1">
      <alignment horizontal="left"/>
      <protection locked="0"/>
    </xf>
    <xf numFmtId="166" fontId="5" fillId="0" borderId="0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Protection="1">
      <protection locked="0"/>
    </xf>
    <xf numFmtId="0" fontId="5" fillId="2" borderId="16" xfId="0" applyFont="1" applyFill="1" applyBorder="1" applyProtection="1">
      <protection locked="0"/>
    </xf>
    <xf numFmtId="0" fontId="5" fillId="0" borderId="17" xfId="0" applyFont="1" applyFill="1" applyBorder="1" applyAlignment="1" applyProtection="1">
      <alignment horizontal="left"/>
      <protection locked="0"/>
    </xf>
    <xf numFmtId="166" fontId="5" fillId="0" borderId="18" xfId="0" applyNumberFormat="1" applyFont="1" applyFill="1" applyBorder="1" applyAlignment="1" applyProtection="1">
      <alignment horizontal="left"/>
      <protection locked="0"/>
    </xf>
    <xf numFmtId="0" fontId="5" fillId="3" borderId="17" xfId="0" applyFont="1" applyFill="1" applyBorder="1" applyAlignment="1" applyProtection="1">
      <alignment horizontal="left"/>
      <protection locked="0"/>
    </xf>
    <xf numFmtId="166" fontId="5" fillId="3" borderId="18" xfId="0" applyNumberFormat="1" applyFont="1" applyFill="1" applyBorder="1" applyAlignment="1" applyProtection="1">
      <alignment horizontal="left"/>
      <protection locked="0"/>
    </xf>
    <xf numFmtId="0" fontId="5" fillId="0" borderId="23" xfId="0" applyFont="1" applyFill="1" applyBorder="1" applyAlignment="1" applyProtection="1">
      <alignment horizontal="left"/>
      <protection locked="0"/>
    </xf>
    <xf numFmtId="166" fontId="5" fillId="0" borderId="24" xfId="0" applyNumberFormat="1" applyFont="1" applyFill="1" applyBorder="1" applyAlignment="1" applyProtection="1">
      <alignment horizontal="left"/>
      <protection locked="0"/>
    </xf>
    <xf numFmtId="0" fontId="5" fillId="3" borderId="23" xfId="0" applyFont="1" applyFill="1" applyBorder="1" applyAlignment="1" applyProtection="1">
      <alignment horizontal="left"/>
      <protection locked="0"/>
    </xf>
    <xf numFmtId="166" fontId="5" fillId="3" borderId="24" xfId="0" applyNumberFormat="1" applyFont="1" applyFill="1" applyBorder="1" applyAlignment="1" applyProtection="1">
      <alignment horizontal="left"/>
      <protection locked="0"/>
    </xf>
    <xf numFmtId="166" fontId="5" fillId="0" borderId="0" xfId="0" applyNumberFormat="1" applyFont="1" applyFill="1" applyBorder="1" applyProtection="1"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Protection="1">
      <protection locked="0"/>
    </xf>
    <xf numFmtId="49" fontId="7" fillId="2" borderId="2" xfId="0" applyNumberFormat="1" applyFont="1" applyFill="1" applyBorder="1" applyProtection="1">
      <protection locked="0"/>
    </xf>
    <xf numFmtId="49" fontId="7" fillId="2" borderId="9" xfId="0" applyNumberFormat="1" applyFont="1" applyFill="1" applyBorder="1" applyProtection="1">
      <protection locked="0"/>
    </xf>
    <xf numFmtId="49" fontId="7" fillId="2" borderId="4" xfId="0" applyNumberFormat="1" applyFont="1" applyFill="1" applyBorder="1" applyProtection="1">
      <protection locked="0"/>
    </xf>
    <xf numFmtId="49" fontId="7" fillId="0" borderId="6" xfId="0" applyNumberFormat="1" applyFont="1" applyFill="1" applyBorder="1" applyProtection="1">
      <protection locked="0"/>
    </xf>
    <xf numFmtId="49" fontId="7" fillId="0" borderId="27" xfId="0" applyNumberFormat="1" applyFont="1" applyFill="1" applyBorder="1" applyProtection="1">
      <protection locked="0"/>
    </xf>
    <xf numFmtId="49" fontId="7" fillId="0" borderId="10" xfId="0" applyNumberFormat="1" applyFont="1" applyFill="1" applyBorder="1" applyProtection="1">
      <protection locked="0"/>
    </xf>
    <xf numFmtId="49" fontId="7" fillId="0" borderId="7" xfId="0" applyNumberFormat="1" applyFont="1" applyFill="1" applyBorder="1" applyProtection="1">
      <protection locked="0"/>
    </xf>
    <xf numFmtId="49" fontId="7" fillId="0" borderId="0" xfId="0" applyNumberFormat="1" applyFont="1" applyFill="1" applyProtection="1">
      <protection locked="0"/>
    </xf>
    <xf numFmtId="49" fontId="5" fillId="0" borderId="14" xfId="0" applyNumberFormat="1" applyFont="1" applyFill="1" applyBorder="1" applyProtection="1">
      <protection locked="0"/>
    </xf>
    <xf numFmtId="49" fontId="5" fillId="0" borderId="13" xfId="0" applyNumberFormat="1" applyFont="1" applyFill="1" applyBorder="1" applyProtection="1">
      <protection locked="0"/>
    </xf>
    <xf numFmtId="49" fontId="5" fillId="0" borderId="0" xfId="0" applyNumberFormat="1" applyFont="1" applyFill="1" applyProtection="1">
      <protection locked="0"/>
    </xf>
    <xf numFmtId="49" fontId="5" fillId="2" borderId="17" xfId="0" applyNumberFormat="1" applyFont="1" applyFill="1" applyBorder="1" applyProtection="1">
      <protection locked="0"/>
    </xf>
    <xf numFmtId="49" fontId="5" fillId="0" borderId="19" xfId="0" applyNumberFormat="1" applyFont="1" applyFill="1" applyBorder="1" applyProtection="1">
      <protection locked="0"/>
    </xf>
    <xf numFmtId="0" fontId="9" fillId="0" borderId="19" xfId="0" applyFont="1" applyFill="1" applyBorder="1"/>
    <xf numFmtId="49" fontId="5" fillId="0" borderId="18" xfId="0" applyNumberFormat="1" applyFont="1" applyFill="1" applyBorder="1" applyProtection="1">
      <protection locked="0"/>
    </xf>
    <xf numFmtId="49" fontId="5" fillId="0" borderId="25" xfId="0" applyNumberFormat="1" applyFont="1" applyFill="1" applyBorder="1" applyProtection="1">
      <protection locked="0"/>
    </xf>
    <xf numFmtId="0" fontId="9" fillId="0" borderId="25" xfId="0" applyFont="1" applyFill="1" applyBorder="1"/>
    <xf numFmtId="49" fontId="5" fillId="0" borderId="24" xfId="0" applyNumberFormat="1" applyFont="1" applyFill="1" applyBorder="1" applyProtection="1">
      <protection locked="0"/>
    </xf>
    <xf numFmtId="49" fontId="8" fillId="0" borderId="0" xfId="0" applyNumberFormat="1" applyFont="1" applyFill="1" applyProtection="1"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0" xfId="0" applyNumberFormat="1" applyFont="1" applyFill="1" applyBorder="1" applyProtection="1">
      <protection locked="0"/>
    </xf>
    <xf numFmtId="49" fontId="10" fillId="0" borderId="0" xfId="0" applyNumberFormat="1" applyFont="1" applyFill="1" applyBorder="1" applyAlignment="1" applyProtection="1">
      <alignment horizontal="center"/>
      <protection locked="0"/>
    </xf>
    <xf numFmtId="14" fontId="5" fillId="0" borderId="0" xfId="0" applyNumberFormat="1" applyFont="1" applyFill="1" applyBorder="1" applyAlignment="1">
      <alignment horizontal="left"/>
    </xf>
    <xf numFmtId="49" fontId="5" fillId="2" borderId="18" xfId="0" applyNumberFormat="1" applyFont="1" applyFill="1" applyBorder="1" applyAlignment="1" applyProtection="1">
      <alignment horizontal="left"/>
      <protection locked="0"/>
    </xf>
    <xf numFmtId="49" fontId="5" fillId="2" borderId="18" xfId="0" applyNumberFormat="1" applyFont="1" applyFill="1" applyBorder="1" applyProtection="1">
      <protection locked="0"/>
    </xf>
    <xf numFmtId="49" fontId="5" fillId="0" borderId="17" xfId="0" applyNumberFormat="1" applyFont="1" applyFill="1" applyBorder="1" applyProtection="1">
      <protection locked="0"/>
    </xf>
    <xf numFmtId="49" fontId="5" fillId="0" borderId="18" xfId="0" applyNumberFormat="1" applyFont="1" applyFill="1" applyBorder="1" applyAlignment="1" applyProtection="1">
      <alignment horizontal="left"/>
      <protection locked="0"/>
    </xf>
    <xf numFmtId="166" fontId="7" fillId="0" borderId="33" xfId="0" applyNumberFormat="1" applyFont="1" applyFill="1" applyBorder="1" applyAlignment="1" applyProtection="1">
      <alignment horizontal="center"/>
      <protection locked="0"/>
    </xf>
    <xf numFmtId="0" fontId="7" fillId="0" borderId="34" xfId="0" applyFont="1" applyFill="1" applyBorder="1" applyAlignment="1" applyProtection="1">
      <alignment horizontal="center"/>
      <protection locked="0"/>
    </xf>
    <xf numFmtId="0" fontId="5" fillId="2" borderId="15" xfId="0" applyFont="1" applyFill="1" applyBorder="1" applyProtection="1">
      <protection locked="0"/>
    </xf>
    <xf numFmtId="0" fontId="5" fillId="0" borderId="35" xfId="0" applyFont="1" applyFill="1" applyBorder="1" applyAlignment="1" applyProtection="1">
      <alignment horizontal="left"/>
      <protection locked="0"/>
    </xf>
    <xf numFmtId="166" fontId="5" fillId="0" borderId="36" xfId="0" applyNumberFormat="1" applyFont="1" applyFill="1" applyBorder="1" applyAlignment="1" applyProtection="1">
      <alignment horizontal="left"/>
      <protection locked="0"/>
    </xf>
    <xf numFmtId="0" fontId="5" fillId="3" borderId="35" xfId="0" applyFont="1" applyFill="1" applyBorder="1" applyAlignment="1" applyProtection="1">
      <alignment horizontal="left"/>
      <protection locked="0"/>
    </xf>
    <xf numFmtId="166" fontId="5" fillId="3" borderId="37" xfId="0" applyNumberFormat="1" applyFont="1" applyFill="1" applyBorder="1" applyAlignment="1" applyProtection="1">
      <alignment horizontal="left"/>
      <protection locked="0"/>
    </xf>
    <xf numFmtId="0" fontId="5" fillId="2" borderId="38" xfId="0" applyFont="1" applyFill="1" applyBorder="1" applyProtection="1">
      <protection locked="0"/>
    </xf>
    <xf numFmtId="0" fontId="5" fillId="5" borderId="26" xfId="0" applyFont="1" applyFill="1" applyBorder="1" applyProtection="1">
      <protection locked="0"/>
    </xf>
    <xf numFmtId="0" fontId="5" fillId="5" borderId="23" xfId="0" applyFont="1" applyFill="1" applyBorder="1" applyAlignment="1" applyProtection="1">
      <alignment horizontal="left"/>
      <protection locked="0"/>
    </xf>
    <xf numFmtId="166" fontId="5" fillId="5" borderId="31" xfId="0" applyNumberFormat="1" applyFont="1" applyFill="1" applyBorder="1" applyAlignment="1" applyProtection="1">
      <alignment horizontal="left"/>
      <protection locked="0"/>
    </xf>
    <xf numFmtId="166" fontId="5" fillId="5" borderId="24" xfId="0" applyNumberFormat="1" applyFont="1" applyFill="1" applyBorder="1" applyAlignment="1" applyProtection="1">
      <alignment horizontal="left"/>
      <protection locked="0"/>
    </xf>
    <xf numFmtId="0" fontId="5" fillId="5" borderId="39" xfId="0" applyFont="1" applyFill="1" applyBorder="1" applyProtection="1">
      <protection locked="0"/>
    </xf>
    <xf numFmtId="0" fontId="5" fillId="5" borderId="40" xfId="0" applyFont="1" applyFill="1" applyBorder="1" applyProtection="1">
      <protection locked="0"/>
    </xf>
    <xf numFmtId="0" fontId="5" fillId="5" borderId="22" xfId="0" applyFont="1" applyFill="1" applyBorder="1" applyProtection="1">
      <protection locked="0"/>
    </xf>
    <xf numFmtId="0" fontId="5" fillId="2" borderId="20" xfId="0" applyFont="1" applyFill="1" applyBorder="1" applyProtection="1">
      <protection locked="0"/>
    </xf>
    <xf numFmtId="0" fontId="7" fillId="3" borderId="2" xfId="0" applyFont="1" applyFill="1" applyBorder="1"/>
    <xf numFmtId="0" fontId="7" fillId="0" borderId="9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3" borderId="6" xfId="0" applyFont="1" applyFill="1" applyBorder="1"/>
    <xf numFmtId="0" fontId="7" fillId="0" borderId="27" xfId="0" applyFont="1" applyFill="1" applyBorder="1" applyAlignment="1">
      <alignment horizontal="center"/>
    </xf>
    <xf numFmtId="49" fontId="7" fillId="0" borderId="7" xfId="0" applyNumberFormat="1" applyFont="1" applyFill="1" applyBorder="1" applyAlignment="1">
      <alignment horizontal="center"/>
    </xf>
    <xf numFmtId="0" fontId="7" fillId="0" borderId="0" xfId="0" applyFont="1" applyFill="1"/>
    <xf numFmtId="0" fontId="5" fillId="0" borderId="0" xfId="0" applyFont="1" applyFill="1" applyBorder="1" applyAlignment="1">
      <alignment horizontal="left"/>
    </xf>
    <xf numFmtId="0" fontId="5" fillId="0" borderId="0" xfId="0" applyFont="1" applyFill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5" fillId="0" borderId="0" xfId="0" applyNumberFormat="1" applyFont="1" applyFill="1"/>
    <xf numFmtId="0" fontId="5" fillId="0" borderId="0" xfId="0" applyFont="1" applyFill="1" applyBorder="1" applyAlignment="1">
      <alignment horizontal="center"/>
    </xf>
    <xf numFmtId="20" fontId="5" fillId="0" borderId="0" xfId="0" applyNumberFormat="1" applyFont="1" applyFill="1" applyBorder="1" applyAlignment="1">
      <alignment horizontal="center"/>
    </xf>
    <xf numFmtId="165" fontId="5" fillId="0" borderId="0" xfId="0" applyNumberFormat="1" applyFont="1" applyFill="1" applyBorder="1" applyAlignment="1">
      <alignment horizontal="center"/>
    </xf>
    <xf numFmtId="49" fontId="7" fillId="8" borderId="2" xfId="0" applyNumberFormat="1" applyFont="1" applyFill="1" applyBorder="1" applyProtection="1">
      <protection locked="0"/>
    </xf>
    <xf numFmtId="49" fontId="7" fillId="8" borderId="9" xfId="0" applyNumberFormat="1" applyFont="1" applyFill="1" applyBorder="1" applyProtection="1">
      <protection locked="0"/>
    </xf>
    <xf numFmtId="49" fontId="7" fillId="8" borderId="4" xfId="0" applyNumberFormat="1" applyFont="1" applyFill="1" applyBorder="1" applyProtection="1">
      <protection locked="0"/>
    </xf>
    <xf numFmtId="49" fontId="5" fillId="8" borderId="12" xfId="0" applyNumberFormat="1" applyFont="1" applyFill="1" applyBorder="1" applyAlignment="1" applyProtection="1">
      <alignment horizontal="center"/>
      <protection locked="0"/>
    </xf>
    <xf numFmtId="49" fontId="5" fillId="8" borderId="14" xfId="0" applyNumberFormat="1" applyFont="1" applyFill="1" applyBorder="1" applyProtection="1">
      <protection locked="0"/>
    </xf>
    <xf numFmtId="49" fontId="5" fillId="8" borderId="17" xfId="0" applyNumberFormat="1" applyFont="1" applyFill="1" applyBorder="1" applyAlignment="1" applyProtection="1">
      <alignment horizontal="center"/>
      <protection locked="0"/>
    </xf>
    <xf numFmtId="49" fontId="5" fillId="8" borderId="19" xfId="0" applyNumberFormat="1" applyFont="1" applyFill="1" applyBorder="1" applyProtection="1">
      <protection locked="0"/>
    </xf>
    <xf numFmtId="49" fontId="5" fillId="8" borderId="23" xfId="0" applyNumberFormat="1" applyFont="1" applyFill="1" applyBorder="1" applyAlignment="1" applyProtection="1">
      <alignment horizontal="center"/>
      <protection locked="0"/>
    </xf>
    <xf numFmtId="49" fontId="5" fillId="8" borderId="25" xfId="0" applyNumberFormat="1" applyFont="1" applyFill="1" applyBorder="1" applyProtection="1">
      <protection locked="0"/>
    </xf>
    <xf numFmtId="49" fontId="7" fillId="9" borderId="2" xfId="0" applyNumberFormat="1" applyFont="1" applyFill="1" applyBorder="1" applyProtection="1">
      <protection locked="0"/>
    </xf>
    <xf numFmtId="49" fontId="7" fillId="9" borderId="9" xfId="0" applyNumberFormat="1" applyFont="1" applyFill="1" applyBorder="1" applyProtection="1">
      <protection locked="0"/>
    </xf>
    <xf numFmtId="49" fontId="7" fillId="9" borderId="4" xfId="0" applyNumberFormat="1" applyFont="1" applyFill="1" applyBorder="1" applyProtection="1">
      <protection locked="0"/>
    </xf>
    <xf numFmtId="49" fontId="5" fillId="9" borderId="17" xfId="0" applyNumberFormat="1" applyFont="1" applyFill="1" applyBorder="1" applyAlignment="1" applyProtection="1">
      <alignment horizontal="center"/>
      <protection locked="0"/>
    </xf>
    <xf numFmtId="49" fontId="5" fillId="9" borderId="19" xfId="0" applyNumberFormat="1" applyFont="1" applyFill="1" applyBorder="1" applyProtection="1">
      <protection locked="0"/>
    </xf>
    <xf numFmtId="14" fontId="5" fillId="9" borderId="18" xfId="0" applyNumberFormat="1" applyFont="1" applyFill="1" applyBorder="1" applyAlignment="1">
      <alignment horizontal="left"/>
    </xf>
    <xf numFmtId="49" fontId="5" fillId="9" borderId="18" xfId="0" applyNumberFormat="1" applyFont="1" applyFill="1" applyBorder="1" applyProtection="1">
      <protection locked="0"/>
    </xf>
    <xf numFmtId="49" fontId="5" fillId="9" borderId="23" xfId="0" applyNumberFormat="1" applyFont="1" applyFill="1" applyBorder="1" applyAlignment="1" applyProtection="1">
      <alignment horizontal="center"/>
      <protection locked="0"/>
    </xf>
    <xf numFmtId="49" fontId="5" fillId="9" borderId="25" xfId="0" applyNumberFormat="1" applyFont="1" applyFill="1" applyBorder="1" applyProtection="1"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14" fontId="5" fillId="8" borderId="14" xfId="0" applyNumberFormat="1" applyFont="1" applyFill="1" applyBorder="1" applyAlignment="1">
      <alignment horizontal="center"/>
    </xf>
    <xf numFmtId="14" fontId="5" fillId="8" borderId="19" xfId="0" applyNumberFormat="1" applyFont="1" applyFill="1" applyBorder="1" applyAlignment="1" applyProtection="1">
      <alignment horizontal="center"/>
      <protection locked="0"/>
    </xf>
    <xf numFmtId="14" fontId="5" fillId="9" borderId="19" xfId="0" applyNumberFormat="1" applyFont="1" applyFill="1" applyBorder="1" applyAlignment="1">
      <alignment horizontal="center"/>
    </xf>
    <xf numFmtId="14" fontId="5" fillId="9" borderId="19" xfId="0" applyNumberFormat="1" applyFont="1" applyFill="1" applyBorder="1" applyAlignment="1" applyProtection="1">
      <alignment horizontal="center"/>
      <protection locked="0"/>
    </xf>
    <xf numFmtId="166" fontId="5" fillId="13" borderId="8" xfId="0" applyNumberFormat="1" applyFont="1" applyFill="1" applyBorder="1" applyAlignment="1" applyProtection="1">
      <alignment horizontal="left"/>
      <protection locked="0"/>
    </xf>
    <xf numFmtId="166" fontId="5" fillId="0" borderId="0" xfId="0" applyNumberFormat="1" applyFont="1" applyFill="1" applyBorder="1" applyAlignment="1" applyProtection="1">
      <alignment horizontal="left"/>
      <protection locked="0"/>
    </xf>
    <xf numFmtId="14" fontId="5" fillId="0" borderId="0" xfId="0" applyNumberFormat="1" applyFont="1" applyFill="1" applyBorder="1" applyAlignment="1">
      <alignment horizontal="center"/>
    </xf>
    <xf numFmtId="14" fontId="5" fillId="0" borderId="0" xfId="0" applyNumberFormat="1" applyFont="1" applyFill="1" applyBorder="1" applyAlignment="1" applyProtection="1">
      <alignment horizontal="center"/>
      <protection locked="0"/>
    </xf>
    <xf numFmtId="164" fontId="5" fillId="0" borderId="0" xfId="0" applyNumberFormat="1" applyFont="1" applyFill="1" applyBorder="1" applyAlignment="1">
      <alignment horizontal="left"/>
    </xf>
    <xf numFmtId="166" fontId="5" fillId="0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left"/>
    </xf>
    <xf numFmtId="0" fontId="5" fillId="0" borderId="1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7" fillId="7" borderId="1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49" fontId="7" fillId="5" borderId="6" xfId="0" applyNumberFormat="1" applyFont="1" applyFill="1" applyBorder="1" applyAlignment="1" applyProtection="1">
      <alignment horizontal="center"/>
      <protection locked="0"/>
    </xf>
    <xf numFmtId="49" fontId="7" fillId="5" borderId="7" xfId="0" applyNumberFormat="1" applyFont="1" applyFill="1" applyBorder="1" applyAlignment="1" applyProtection="1">
      <alignment horizontal="center"/>
      <protection locked="0"/>
    </xf>
    <xf numFmtId="14" fontId="5" fillId="8" borderId="25" xfId="0" applyNumberFormat="1" applyFont="1" applyFill="1" applyBorder="1" applyAlignment="1" applyProtection="1">
      <alignment horizontal="center"/>
      <protection locked="0"/>
    </xf>
    <xf numFmtId="14" fontId="5" fillId="9" borderId="25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/>
    <xf numFmtId="166" fontId="5" fillId="0" borderId="21" xfId="0" applyNumberFormat="1" applyFont="1" applyFill="1" applyBorder="1" applyAlignment="1" applyProtection="1">
      <alignment horizontal="left"/>
      <protection locked="0"/>
    </xf>
    <xf numFmtId="166" fontId="5" fillId="3" borderId="21" xfId="0" applyNumberFormat="1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>
      <alignment horizontal="right"/>
    </xf>
    <xf numFmtId="0" fontId="7" fillId="6" borderId="2" xfId="0" applyFont="1" applyFill="1" applyBorder="1"/>
    <xf numFmtId="0" fontId="7" fillId="6" borderId="4" xfId="0" applyFont="1" applyFill="1" applyBorder="1"/>
    <xf numFmtId="0" fontId="7" fillId="4" borderId="2" xfId="0" applyFont="1" applyFill="1" applyBorder="1"/>
    <xf numFmtId="0" fontId="7" fillId="4" borderId="9" xfId="0" applyFont="1" applyFill="1" applyBorder="1"/>
    <xf numFmtId="0" fontId="7" fillId="4" borderId="4" xfId="0" applyFont="1" applyFill="1" applyBorder="1"/>
    <xf numFmtId="1" fontId="5" fillId="4" borderId="44" xfId="0" applyNumberFormat="1" applyFont="1" applyFill="1" applyBorder="1" applyAlignment="1">
      <alignment horizontal="center"/>
    </xf>
    <xf numFmtId="49" fontId="7" fillId="0" borderId="4" xfId="0" applyNumberFormat="1" applyFont="1" applyFill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1" fontId="5" fillId="4" borderId="48" xfId="0" applyNumberFormat="1" applyFont="1" applyFill="1" applyBorder="1" applyAlignment="1">
      <alignment horizontal="center"/>
    </xf>
    <xf numFmtId="1" fontId="5" fillId="4" borderId="49" xfId="0" applyNumberFormat="1" applyFont="1" applyFill="1" applyBorder="1" applyAlignment="1">
      <alignment horizontal="center"/>
    </xf>
    <xf numFmtId="166" fontId="5" fillId="7" borderId="15" xfId="0" applyNumberFormat="1" applyFont="1" applyFill="1" applyBorder="1"/>
    <xf numFmtId="166" fontId="5" fillId="7" borderId="20" xfId="0" applyNumberFormat="1" applyFont="1" applyFill="1" applyBorder="1"/>
    <xf numFmtId="0" fontId="5" fillId="11" borderId="40" xfId="0" applyFont="1" applyFill="1" applyBorder="1" applyProtection="1">
      <protection locked="0"/>
    </xf>
    <xf numFmtId="0" fontId="7" fillId="2" borderId="8" xfId="0" applyFont="1" applyFill="1" applyBorder="1" applyAlignment="1" applyProtection="1">
      <alignment horizontal="center"/>
      <protection locked="0"/>
    </xf>
    <xf numFmtId="0" fontId="18" fillId="17" borderId="41" xfId="0" applyFont="1" applyFill="1" applyBorder="1" applyAlignment="1" applyProtection="1">
      <alignment horizontal="center"/>
      <protection locked="0"/>
    </xf>
    <xf numFmtId="0" fontId="18" fillId="17" borderId="42" xfId="0" applyFont="1" applyFill="1" applyBorder="1" applyAlignment="1" applyProtection="1">
      <alignment horizontal="center"/>
      <protection locked="0"/>
    </xf>
    <xf numFmtId="0" fontId="34" fillId="15" borderId="42" xfId="0" applyFont="1" applyFill="1" applyBorder="1" applyAlignment="1" applyProtection="1">
      <alignment horizontal="center"/>
      <protection locked="0"/>
    </xf>
    <xf numFmtId="0" fontId="33" fillId="0" borderId="42" xfId="0" applyFont="1" applyFill="1" applyBorder="1" applyAlignment="1" applyProtection="1">
      <alignment horizontal="center"/>
      <protection locked="0"/>
    </xf>
    <xf numFmtId="0" fontId="32" fillId="14" borderId="42" xfId="0" applyFont="1" applyFill="1" applyBorder="1" applyAlignment="1" applyProtection="1">
      <alignment horizontal="center"/>
      <protection locked="0"/>
    </xf>
    <xf numFmtId="0" fontId="8" fillId="0" borderId="43" xfId="0" applyFont="1" applyFill="1" applyBorder="1" applyAlignment="1" applyProtection="1">
      <alignment horizontal="center"/>
      <protection locked="0"/>
    </xf>
    <xf numFmtId="0" fontId="18" fillId="19" borderId="47" xfId="0" applyFont="1" applyFill="1" applyBorder="1" applyAlignment="1" applyProtection="1">
      <alignment horizontal="center"/>
      <protection locked="0"/>
    </xf>
    <xf numFmtId="0" fontId="30" fillId="0" borderId="15" xfId="0" applyFont="1" applyFill="1" applyBorder="1" applyAlignment="1" applyProtection="1">
      <alignment vertical="center"/>
      <protection locked="0"/>
    </xf>
    <xf numFmtId="0" fontId="30" fillId="0" borderId="20" xfId="0" applyFont="1" applyFill="1" applyBorder="1" applyAlignment="1" applyProtection="1">
      <alignment vertical="center"/>
      <protection locked="0"/>
    </xf>
    <xf numFmtId="0" fontId="5" fillId="11" borderId="19" xfId="0" applyFont="1" applyFill="1" applyBorder="1" applyAlignment="1">
      <alignment horizontal="left"/>
    </xf>
    <xf numFmtId="0" fontId="42" fillId="0" borderId="0" xfId="0" applyFont="1" applyFill="1" applyBorder="1"/>
    <xf numFmtId="0" fontId="44" fillId="0" borderId="0" xfId="0" applyFont="1" applyFill="1" applyBorder="1"/>
    <xf numFmtId="0" fontId="45" fillId="0" borderId="0" xfId="0" applyFont="1" applyFill="1" applyBorder="1"/>
    <xf numFmtId="166" fontId="5" fillId="4" borderId="50" xfId="0" applyNumberFormat="1" applyFont="1" applyFill="1" applyBorder="1" applyAlignment="1">
      <alignment horizontal="center"/>
    </xf>
    <xf numFmtId="166" fontId="5" fillId="4" borderId="45" xfId="0" applyNumberFormat="1" applyFont="1" applyFill="1" applyBorder="1" applyAlignment="1">
      <alignment horizontal="center"/>
    </xf>
    <xf numFmtId="166" fontId="5" fillId="4" borderId="51" xfId="0" applyNumberFormat="1" applyFont="1" applyFill="1" applyBorder="1" applyAlignment="1">
      <alignment horizontal="center"/>
    </xf>
    <xf numFmtId="0" fontId="5" fillId="3" borderId="12" xfId="0" applyFont="1" applyFill="1" applyBorder="1"/>
    <xf numFmtId="167" fontId="5" fillId="0" borderId="13" xfId="0" applyNumberFormat="1" applyFont="1" applyFill="1" applyBorder="1" applyAlignment="1">
      <alignment horizontal="center"/>
    </xf>
    <xf numFmtId="0" fontId="5" fillId="3" borderId="17" xfId="0" applyFont="1" applyFill="1" applyBorder="1"/>
    <xf numFmtId="167" fontId="5" fillId="0" borderId="18" xfId="0" applyNumberFormat="1" applyFont="1" applyFill="1" applyBorder="1" applyAlignment="1">
      <alignment horizontal="center"/>
    </xf>
    <xf numFmtId="0" fontId="5" fillId="3" borderId="23" xfId="0" applyFont="1" applyFill="1" applyBorder="1"/>
    <xf numFmtId="167" fontId="5" fillId="0" borderId="24" xfId="0" applyNumberFormat="1" applyFont="1" applyFill="1" applyBorder="1" applyAlignment="1">
      <alignment horizontal="center"/>
    </xf>
    <xf numFmtId="0" fontId="5" fillId="0" borderId="44" xfId="0" applyFont="1" applyFill="1" applyBorder="1" applyAlignment="1">
      <alignment horizontal="center"/>
    </xf>
    <xf numFmtId="49" fontId="5" fillId="2" borderId="15" xfId="0" applyNumberFormat="1" applyFont="1" applyFill="1" applyBorder="1" applyProtection="1">
      <protection locked="0"/>
    </xf>
    <xf numFmtId="49" fontId="5" fillId="2" borderId="20" xfId="0" applyNumberFormat="1" applyFont="1" applyFill="1" applyBorder="1" applyProtection="1">
      <protection locked="0"/>
    </xf>
    <xf numFmtId="49" fontId="5" fillId="2" borderId="26" xfId="0" applyNumberFormat="1" applyFont="1" applyFill="1" applyBorder="1" applyProtection="1">
      <protection locked="0"/>
    </xf>
    <xf numFmtId="49" fontId="5" fillId="0" borderId="12" xfId="0" applyNumberFormat="1" applyFont="1" applyFill="1" applyBorder="1" applyProtection="1">
      <protection locked="0"/>
    </xf>
    <xf numFmtId="0" fontId="5" fillId="0" borderId="17" xfId="0" applyFont="1" applyFill="1" applyBorder="1"/>
    <xf numFmtId="0" fontId="31" fillId="0" borderId="14" xfId="2" applyBorder="1"/>
    <xf numFmtId="0" fontId="31" fillId="0" borderId="19" xfId="2" applyBorder="1"/>
    <xf numFmtId="49" fontId="5" fillId="0" borderId="23" xfId="0" applyNumberFormat="1" applyFont="1" applyFill="1" applyBorder="1" applyProtection="1">
      <protection locked="0"/>
    </xf>
    <xf numFmtId="0" fontId="31" fillId="0" borderId="25" xfId="2" applyBorder="1"/>
    <xf numFmtId="0" fontId="5" fillId="0" borderId="41" xfId="0" applyFont="1" applyFill="1" applyBorder="1" applyAlignment="1" applyProtection="1">
      <alignment horizontal="left"/>
      <protection locked="0"/>
    </xf>
    <xf numFmtId="0" fontId="5" fillId="0" borderId="42" xfId="0" applyFont="1" applyFill="1" applyBorder="1" applyAlignment="1" applyProtection="1">
      <alignment horizontal="left"/>
      <protection locked="0"/>
    </xf>
    <xf numFmtId="0" fontId="7" fillId="0" borderId="55" xfId="0" applyFont="1" applyFill="1" applyBorder="1" applyAlignment="1" applyProtection="1">
      <alignment horizontal="center"/>
      <protection locked="0"/>
    </xf>
    <xf numFmtId="166" fontId="7" fillId="0" borderId="47" xfId="0" applyNumberFormat="1" applyFont="1" applyFill="1" applyBorder="1" applyAlignment="1" applyProtection="1">
      <alignment horizontal="center"/>
      <protection locked="0"/>
    </xf>
    <xf numFmtId="49" fontId="5" fillId="0" borderId="24" xfId="0" applyNumberFormat="1" applyFont="1" applyFill="1" applyBorder="1" applyAlignment="1" applyProtection="1">
      <alignment horizontal="left"/>
      <protection locked="0"/>
    </xf>
    <xf numFmtId="49" fontId="5" fillId="9" borderId="12" xfId="0" applyNumberFormat="1" applyFont="1" applyFill="1" applyBorder="1" applyAlignment="1" applyProtection="1">
      <alignment horizontal="center"/>
      <protection locked="0"/>
    </xf>
    <xf numFmtId="49" fontId="5" fillId="9" borderId="14" xfId="0" applyNumberFormat="1" applyFont="1" applyFill="1" applyBorder="1" applyProtection="1">
      <protection locked="0"/>
    </xf>
    <xf numFmtId="14" fontId="5" fillId="9" borderId="14" xfId="0" applyNumberFormat="1" applyFont="1" applyFill="1" applyBorder="1" applyAlignment="1" applyProtection="1">
      <alignment horizontal="center"/>
      <protection locked="0"/>
    </xf>
    <xf numFmtId="49" fontId="5" fillId="9" borderId="13" xfId="0" applyNumberFormat="1" applyFont="1" applyFill="1" applyBorder="1" applyProtection="1">
      <protection locked="0"/>
    </xf>
    <xf numFmtId="0" fontId="5" fillId="2" borderId="54" xfId="0" applyFont="1" applyFill="1" applyBorder="1" applyProtection="1">
      <protection locked="0"/>
    </xf>
    <xf numFmtId="0" fontId="5" fillId="2" borderId="26" xfId="0" applyFont="1" applyFill="1" applyBorder="1" applyProtection="1">
      <protection locked="0"/>
    </xf>
    <xf numFmtId="0" fontId="18" fillId="22" borderId="42" xfId="0" applyFont="1" applyFill="1" applyBorder="1" applyAlignment="1" applyProtection="1">
      <alignment horizontal="center"/>
      <protection locked="0"/>
    </xf>
    <xf numFmtId="0" fontId="5" fillId="0" borderId="11" xfId="0" applyFont="1" applyFill="1" applyBorder="1" applyProtection="1">
      <protection locked="0"/>
    </xf>
    <xf numFmtId="0" fontId="5" fillId="0" borderId="16" xfId="0" applyFont="1" applyFill="1" applyBorder="1" applyProtection="1">
      <protection locked="0"/>
    </xf>
    <xf numFmtId="0" fontId="5" fillId="0" borderId="56" xfId="0" applyFont="1" applyFill="1" applyBorder="1" applyProtection="1">
      <protection locked="0"/>
    </xf>
    <xf numFmtId="0" fontId="5" fillId="0" borderId="22" xfId="0" applyFont="1" applyFill="1" applyBorder="1" applyProtection="1">
      <protection locked="0"/>
    </xf>
    <xf numFmtId="0" fontId="5" fillId="0" borderId="42" xfId="0" applyFont="1" applyFill="1" applyBorder="1" applyAlignment="1" applyProtection="1">
      <alignment horizontal="center"/>
      <protection locked="0"/>
    </xf>
    <xf numFmtId="0" fontId="5" fillId="0" borderId="43" xfId="0" applyFont="1" applyFill="1" applyBorder="1" applyAlignment="1" applyProtection="1">
      <alignment horizontal="center"/>
      <protection locked="0"/>
    </xf>
    <xf numFmtId="0" fontId="5" fillId="0" borderId="19" xfId="0" applyFont="1" applyFill="1" applyBorder="1" applyAlignment="1" applyProtection="1">
      <alignment horizontal="left"/>
      <protection locked="0"/>
    </xf>
    <xf numFmtId="0" fontId="5" fillId="0" borderId="25" xfId="0" applyFont="1" applyFill="1" applyBorder="1" applyAlignment="1" applyProtection="1">
      <alignment horizontal="left"/>
      <protection locked="0"/>
    </xf>
    <xf numFmtId="0" fontId="5" fillId="0" borderId="57" xfId="0" applyFont="1" applyFill="1" applyBorder="1" applyAlignment="1" applyProtection="1">
      <alignment horizontal="left"/>
      <protection locked="0"/>
    </xf>
    <xf numFmtId="166" fontId="7" fillId="0" borderId="27" xfId="0" applyNumberFormat="1" applyFont="1" applyFill="1" applyBorder="1" applyAlignment="1" applyProtection="1">
      <alignment horizontal="center"/>
      <protection locked="0"/>
    </xf>
    <xf numFmtId="0" fontId="7" fillId="0" borderId="27" xfId="0" applyFont="1" applyFill="1" applyBorder="1" applyAlignment="1" applyProtection="1">
      <alignment horizontal="center"/>
      <protection locked="0"/>
    </xf>
    <xf numFmtId="49" fontId="5" fillId="0" borderId="60" xfId="0" applyNumberFormat="1" applyFont="1" applyFill="1" applyBorder="1" applyProtection="1">
      <protection locked="0"/>
    </xf>
    <xf numFmtId="0" fontId="5" fillId="0" borderId="66" xfId="0" applyFont="1" applyFill="1" applyBorder="1" applyAlignment="1">
      <alignment horizontal="center"/>
    </xf>
    <xf numFmtId="0" fontId="58" fillId="0" borderId="62" xfId="0" applyFont="1" applyFill="1" applyBorder="1" applyAlignment="1">
      <alignment horizontal="center"/>
    </xf>
    <xf numFmtId="14" fontId="5" fillId="0" borderId="0" xfId="0" applyNumberFormat="1" applyFont="1" applyFill="1" applyBorder="1"/>
    <xf numFmtId="169" fontId="5" fillId="0" borderId="0" xfId="0" applyNumberFormat="1" applyFont="1" applyFill="1" applyBorder="1" applyAlignment="1">
      <alignment horizontal="center"/>
    </xf>
    <xf numFmtId="169" fontId="5" fillId="0" borderId="0" xfId="0" applyNumberFormat="1" applyFont="1" applyFill="1" applyBorder="1" applyAlignment="1">
      <alignment horizontal="left"/>
    </xf>
    <xf numFmtId="0" fontId="5" fillId="0" borderId="0" xfId="0" applyNumberFormat="1" applyFont="1" applyFill="1" applyBorder="1" applyAlignment="1">
      <alignment horizontal="left"/>
    </xf>
    <xf numFmtId="166" fontId="5" fillId="0" borderId="0" xfId="0" applyNumberFormat="1" applyFont="1" applyFill="1" applyBorder="1" applyAlignment="1">
      <alignment horizontal="left"/>
    </xf>
    <xf numFmtId="169" fontId="5" fillId="0" borderId="0" xfId="0" applyNumberFormat="1" applyFont="1" applyFill="1" applyBorder="1" applyAlignment="1">
      <alignment horizontal="right"/>
    </xf>
    <xf numFmtId="0" fontId="65" fillId="0" borderId="0" xfId="0" applyFont="1" applyFill="1" applyBorder="1"/>
    <xf numFmtId="0" fontId="39" fillId="0" borderId="0" xfId="0" applyFont="1" applyFill="1" applyBorder="1" applyAlignment="1">
      <alignment horizontal="right"/>
    </xf>
    <xf numFmtId="0" fontId="39" fillId="0" borderId="0" xfId="0" applyFont="1" applyFill="1" applyBorder="1" applyAlignment="1"/>
    <xf numFmtId="0" fontId="5" fillId="11" borderId="19" xfId="0" applyFont="1" applyFill="1" applyBorder="1"/>
    <xf numFmtId="20" fontId="5" fillId="11" borderId="19" xfId="0" applyNumberFormat="1" applyFont="1" applyFill="1" applyBorder="1" applyAlignment="1">
      <alignment horizontal="center"/>
    </xf>
    <xf numFmtId="165" fontId="5" fillId="11" borderId="19" xfId="0" applyNumberFormat="1" applyFont="1" applyFill="1" applyBorder="1" applyAlignment="1">
      <alignment horizontal="center"/>
    </xf>
    <xf numFmtId="0" fontId="5" fillId="11" borderId="19" xfId="0" applyFont="1" applyFill="1" applyBorder="1" applyAlignment="1">
      <alignment horizontal="center"/>
    </xf>
    <xf numFmtId="0" fontId="5" fillId="11" borderId="14" xfId="0" applyFont="1" applyFill="1" applyBorder="1" applyAlignment="1">
      <alignment horizontal="left"/>
    </xf>
    <xf numFmtId="0" fontId="5" fillId="11" borderId="14" xfId="0" applyFont="1" applyFill="1" applyBorder="1"/>
    <xf numFmtId="20" fontId="5" fillId="11" borderId="14" xfId="0" applyNumberFormat="1" applyFont="1" applyFill="1" applyBorder="1" applyAlignment="1">
      <alignment horizontal="center"/>
    </xf>
    <xf numFmtId="165" fontId="5" fillId="11" borderId="14" xfId="0" applyNumberFormat="1" applyFont="1" applyFill="1" applyBorder="1" applyAlignment="1">
      <alignment horizontal="center"/>
    </xf>
    <xf numFmtId="0" fontId="5" fillId="11" borderId="13" xfId="0" applyFont="1" applyFill="1" applyBorder="1" applyAlignment="1">
      <alignment horizontal="center"/>
    </xf>
    <xf numFmtId="0" fontId="5" fillId="11" borderId="18" xfId="0" applyFont="1" applyFill="1" applyBorder="1" applyAlignment="1">
      <alignment horizontal="center"/>
    </xf>
    <xf numFmtId="0" fontId="7" fillId="12" borderId="53" xfId="0" applyFont="1" applyFill="1" applyBorder="1"/>
    <xf numFmtId="0" fontId="7" fillId="12" borderId="4" xfId="0" applyFont="1" applyFill="1" applyBorder="1"/>
    <xf numFmtId="166" fontId="5" fillId="12" borderId="19" xfId="0" applyNumberFormat="1" applyFont="1" applyFill="1" applyBorder="1" applyAlignment="1">
      <alignment horizontal="center"/>
    </xf>
    <xf numFmtId="166" fontId="5" fillId="12" borderId="14" xfId="0" applyNumberFormat="1" applyFont="1" applyFill="1" applyBorder="1" applyAlignment="1">
      <alignment horizontal="center"/>
    </xf>
    <xf numFmtId="0" fontId="7" fillId="12" borderId="5" xfId="0" applyFont="1" applyFill="1" applyBorder="1"/>
    <xf numFmtId="47" fontId="5" fillId="12" borderId="29" xfId="0" applyNumberFormat="1" applyFont="1" applyFill="1" applyBorder="1" applyAlignment="1">
      <alignment horizontal="left"/>
    </xf>
    <xf numFmtId="0" fontId="5" fillId="12" borderId="30" xfId="0" applyFont="1" applyFill="1" applyBorder="1" applyAlignment="1">
      <alignment horizontal="left"/>
    </xf>
    <xf numFmtId="0" fontId="7" fillId="2" borderId="6" xfId="0" applyFont="1" applyFill="1" applyBorder="1" applyAlignment="1">
      <alignment horizontal="left"/>
    </xf>
    <xf numFmtId="0" fontId="5" fillId="0" borderId="19" xfId="0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49" fontId="5" fillId="9" borderId="24" xfId="0" applyNumberFormat="1" applyFont="1" applyFill="1" applyBorder="1" applyProtection="1">
      <protection locked="0"/>
    </xf>
    <xf numFmtId="49" fontId="5" fillId="2" borderId="0" xfId="0" applyNumberFormat="1" applyFont="1" applyFill="1" applyBorder="1" applyProtection="1">
      <protection locked="0"/>
    </xf>
    <xf numFmtId="49" fontId="7" fillId="0" borderId="0" xfId="0" applyNumberFormat="1" applyFont="1" applyFill="1" applyBorder="1" applyProtection="1">
      <protection locked="0"/>
    </xf>
    <xf numFmtId="49" fontId="5" fillId="19" borderId="0" xfId="0" applyNumberFormat="1" applyFont="1" applyFill="1" applyBorder="1" applyProtection="1">
      <protection locked="0"/>
    </xf>
    <xf numFmtId="0" fontId="5" fillId="12" borderId="28" xfId="0" applyFont="1" applyFill="1" applyBorder="1" applyAlignment="1">
      <alignment horizontal="center"/>
    </xf>
    <xf numFmtId="0" fontId="5" fillId="12" borderId="58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49" fontId="5" fillId="10" borderId="19" xfId="0" applyNumberFormat="1" applyFont="1" applyFill="1" applyBorder="1" applyAlignment="1">
      <alignment horizontal="center"/>
    </xf>
    <xf numFmtId="49" fontId="5" fillId="10" borderId="14" xfId="0" applyNumberFormat="1" applyFont="1" applyFill="1" applyBorder="1" applyAlignment="1">
      <alignment horizontal="center"/>
    </xf>
    <xf numFmtId="49" fontId="5" fillId="10" borderId="28" xfId="0" applyNumberFormat="1" applyFont="1" applyFill="1" applyBorder="1" applyAlignment="1">
      <alignment horizontal="center"/>
    </xf>
    <xf numFmtId="49" fontId="5" fillId="10" borderId="58" xfId="0" applyNumberFormat="1" applyFont="1" applyFill="1" applyBorder="1" applyAlignment="1">
      <alignment horizontal="center"/>
    </xf>
    <xf numFmtId="0" fontId="5" fillId="4" borderId="72" xfId="0" applyFont="1" applyFill="1" applyBorder="1"/>
    <xf numFmtId="0" fontId="5" fillId="4" borderId="46" xfId="0" applyFont="1" applyFill="1" applyBorder="1"/>
    <xf numFmtId="0" fontId="5" fillId="4" borderId="73" xfId="0" applyFont="1" applyFill="1" applyBorder="1"/>
    <xf numFmtId="0" fontId="5" fillId="6" borderId="12" xfId="0" applyFont="1" applyFill="1" applyBorder="1"/>
    <xf numFmtId="166" fontId="5" fillId="6" borderId="13" xfId="0" applyNumberFormat="1" applyFont="1" applyFill="1" applyBorder="1" applyAlignment="1">
      <alignment horizontal="center"/>
    </xf>
    <xf numFmtId="0" fontId="5" fillId="6" borderId="17" xfId="0" applyFont="1" applyFill="1" applyBorder="1"/>
    <xf numFmtId="166" fontId="5" fillId="6" borderId="18" xfId="0" applyNumberFormat="1" applyFont="1" applyFill="1" applyBorder="1" applyAlignment="1">
      <alignment horizontal="center"/>
    </xf>
    <xf numFmtId="0" fontId="5" fillId="6" borderId="23" xfId="0" applyFont="1" applyFill="1" applyBorder="1"/>
    <xf numFmtId="166" fontId="5" fillId="6" borderId="24" xfId="0" applyNumberFormat="1" applyFont="1" applyFill="1" applyBorder="1" applyAlignment="1">
      <alignment horizontal="center"/>
    </xf>
    <xf numFmtId="0" fontId="5" fillId="0" borderId="0" xfId="0" applyFont="1" applyBorder="1"/>
    <xf numFmtId="0" fontId="5" fillId="19" borderId="0" xfId="0" applyFont="1" applyFill="1" applyBorder="1"/>
    <xf numFmtId="0" fontId="6" fillId="0" borderId="0" xfId="0" applyFont="1" applyFill="1" applyBorder="1" applyAlignment="1">
      <alignment horizontal="left"/>
    </xf>
    <xf numFmtId="0" fontId="5" fillId="0" borderId="77" xfId="0" applyFont="1" applyFill="1" applyBorder="1"/>
    <xf numFmtId="0" fontId="5" fillId="0" borderId="78" xfId="0" applyFont="1" applyFill="1" applyBorder="1"/>
    <xf numFmtId="14" fontId="5" fillId="0" borderId="78" xfId="0" applyNumberFormat="1" applyFont="1" applyFill="1" applyBorder="1"/>
    <xf numFmtId="0" fontId="5" fillId="0" borderId="79" xfId="0" applyFont="1" applyFill="1" applyBorder="1"/>
    <xf numFmtId="0" fontId="5" fillId="0" borderId="80" xfId="0" applyFont="1" applyFill="1" applyBorder="1"/>
    <xf numFmtId="0" fontId="5" fillId="0" borderId="81" xfId="0" applyFont="1" applyFill="1" applyBorder="1"/>
    <xf numFmtId="0" fontId="5" fillId="0" borderId="82" xfId="0" applyFont="1" applyFill="1" applyBorder="1"/>
    <xf numFmtId="0" fontId="5" fillId="0" borderId="83" xfId="0" applyFont="1" applyFill="1" applyBorder="1"/>
    <xf numFmtId="14" fontId="5" fillId="0" borderId="83" xfId="0" applyNumberFormat="1" applyFont="1" applyFill="1" applyBorder="1"/>
    <xf numFmtId="0" fontId="5" fillId="0" borderId="84" xfId="0" applyFont="1" applyFill="1" applyBorder="1"/>
    <xf numFmtId="0" fontId="5" fillId="0" borderId="78" xfId="0" applyFont="1" applyFill="1" applyBorder="1" applyAlignment="1">
      <alignment horizontal="right"/>
    </xf>
    <xf numFmtId="169" fontId="5" fillId="0" borderId="78" xfId="0" applyNumberFormat="1" applyFont="1" applyFill="1" applyBorder="1" applyAlignment="1">
      <alignment horizontal="left"/>
    </xf>
    <xf numFmtId="0" fontId="5" fillId="0" borderId="83" xfId="0" applyFont="1" applyFill="1" applyBorder="1" applyAlignment="1">
      <alignment horizontal="right"/>
    </xf>
    <xf numFmtId="0" fontId="5" fillId="0" borderId="83" xfId="0" applyFont="1" applyFill="1" applyBorder="1" applyAlignment="1">
      <alignment horizontal="left"/>
    </xf>
    <xf numFmtId="0" fontId="5" fillId="0" borderId="78" xfId="0" applyFont="1" applyFill="1" applyBorder="1" applyAlignment="1">
      <alignment horizontal="left"/>
    </xf>
    <xf numFmtId="0" fontId="5" fillId="0" borderId="77" xfId="0" applyNumberFormat="1" applyFont="1" applyFill="1" applyBorder="1" applyAlignment="1">
      <alignment horizontal="right"/>
    </xf>
    <xf numFmtId="169" fontId="5" fillId="0" borderId="78" xfId="0" applyNumberFormat="1" applyFont="1" applyFill="1" applyBorder="1" applyAlignment="1">
      <alignment horizontal="right"/>
    </xf>
    <xf numFmtId="14" fontId="5" fillId="0" borderId="78" xfId="0" applyNumberFormat="1" applyFont="1" applyFill="1" applyBorder="1" applyAlignment="1">
      <alignment horizontal="left"/>
    </xf>
    <xf numFmtId="0" fontId="5" fillId="0" borderId="80" xfId="0" applyNumberFormat="1" applyFont="1" applyFill="1" applyBorder="1" applyAlignment="1">
      <alignment horizontal="right"/>
    </xf>
    <xf numFmtId="0" fontId="5" fillId="0" borderId="82" xfId="0" applyNumberFormat="1" applyFont="1" applyFill="1" applyBorder="1" applyAlignment="1">
      <alignment horizontal="right"/>
    </xf>
    <xf numFmtId="169" fontId="5" fillId="0" borderId="83" xfId="0" applyNumberFormat="1" applyFont="1" applyFill="1" applyBorder="1" applyAlignment="1">
      <alignment horizontal="right"/>
    </xf>
    <xf numFmtId="0" fontId="5" fillId="0" borderId="85" xfId="0" applyFont="1" applyFill="1" applyBorder="1" applyAlignment="1">
      <alignment horizontal="center" vertical="center" textRotation="90"/>
    </xf>
    <xf numFmtId="0" fontId="5" fillId="0" borderId="86" xfId="0" applyFont="1" applyFill="1" applyBorder="1" applyAlignment="1">
      <alignment horizontal="right"/>
    </xf>
    <xf numFmtId="0" fontId="5" fillId="0" borderId="86" xfId="0" applyFont="1" applyFill="1" applyBorder="1" applyAlignment="1">
      <alignment horizontal="left"/>
    </xf>
    <xf numFmtId="169" fontId="5" fillId="0" borderId="86" xfId="0" applyNumberFormat="1" applyFont="1" applyFill="1" applyBorder="1" applyAlignment="1">
      <alignment horizontal="right"/>
    </xf>
    <xf numFmtId="166" fontId="5" fillId="0" borderId="86" xfId="0" applyNumberFormat="1" applyFont="1" applyFill="1" applyBorder="1" applyAlignment="1">
      <alignment horizontal="left"/>
    </xf>
    <xf numFmtId="0" fontId="5" fillId="0" borderId="87" xfId="0" applyFont="1" applyFill="1" applyBorder="1"/>
    <xf numFmtId="0" fontId="5" fillId="0" borderId="76" xfId="0" applyFont="1" applyFill="1" applyBorder="1" applyAlignment="1">
      <alignment horizontal="center" vertical="center"/>
    </xf>
    <xf numFmtId="0" fontId="5" fillId="19" borderId="76" xfId="0" applyFont="1" applyFill="1" applyBorder="1" applyAlignment="1">
      <alignment horizontal="center"/>
    </xf>
    <xf numFmtId="0" fontId="5" fillId="0" borderId="76" xfId="0" applyFont="1" applyFill="1" applyBorder="1"/>
    <xf numFmtId="168" fontId="21" fillId="19" borderId="76" xfId="0" applyNumberFormat="1" applyFont="1" applyFill="1" applyBorder="1" applyAlignment="1" applyProtection="1">
      <alignment horizontal="center"/>
      <protection locked="0"/>
    </xf>
    <xf numFmtId="168" fontId="21" fillId="18" borderId="76" xfId="0" applyNumberFormat="1" applyFont="1" applyFill="1" applyBorder="1" applyAlignment="1" applyProtection="1">
      <alignment horizontal="center"/>
      <protection locked="0"/>
    </xf>
    <xf numFmtId="0" fontId="5" fillId="18" borderId="76" xfId="0" applyFont="1" applyFill="1" applyBorder="1" applyAlignment="1">
      <alignment horizontal="center"/>
    </xf>
    <xf numFmtId="171" fontId="5" fillId="0" borderId="85" xfId="0" applyNumberFormat="1" applyFont="1" applyFill="1" applyBorder="1"/>
    <xf numFmtId="0" fontId="3" fillId="0" borderId="87" xfId="0" applyFont="1" applyFill="1" applyBorder="1" applyAlignment="1">
      <alignment horizontal="center"/>
    </xf>
    <xf numFmtId="0" fontId="5" fillId="19" borderId="76" xfId="0" applyFont="1" applyFill="1" applyBorder="1" applyAlignment="1" applyProtection="1">
      <alignment vertical="center"/>
      <protection locked="0"/>
    </xf>
    <xf numFmtId="0" fontId="5" fillId="0" borderId="76" xfId="0" applyFont="1" applyFill="1" applyBorder="1" applyAlignment="1" applyProtection="1">
      <alignment horizontal="center" vertical="center"/>
      <protection locked="0"/>
    </xf>
    <xf numFmtId="0" fontId="3" fillId="0" borderId="76" xfId="0" applyFont="1" applyFill="1" applyBorder="1" applyAlignment="1">
      <alignment horizontal="center" vertical="center"/>
    </xf>
    <xf numFmtId="0" fontId="41" fillId="0" borderId="77" xfId="0" applyFont="1" applyFill="1" applyBorder="1" applyAlignment="1">
      <alignment horizontal="center"/>
    </xf>
    <xf numFmtId="0" fontId="42" fillId="0" borderId="78" xfId="0" applyFont="1" applyFill="1" applyBorder="1"/>
    <xf numFmtId="14" fontId="42" fillId="0" borderId="79" xfId="0" applyNumberFormat="1" applyFont="1" applyFill="1" applyBorder="1"/>
    <xf numFmtId="0" fontId="42" fillId="0" borderId="80" xfId="0" applyFont="1" applyFill="1" applyBorder="1"/>
    <xf numFmtId="14" fontId="42" fillId="0" borderId="81" xfId="0" applyNumberFormat="1" applyFont="1" applyFill="1" applyBorder="1"/>
    <xf numFmtId="0" fontId="42" fillId="0" borderId="82" xfId="0" applyFont="1" applyFill="1" applyBorder="1"/>
    <xf numFmtId="0" fontId="42" fillId="0" borderId="83" xfId="0" applyFont="1" applyFill="1" applyBorder="1"/>
    <xf numFmtId="14" fontId="42" fillId="0" borderId="84" xfId="0" applyNumberFormat="1" applyFont="1" applyFill="1" applyBorder="1"/>
    <xf numFmtId="0" fontId="39" fillId="0" borderId="78" xfId="0" applyFont="1" applyFill="1" applyBorder="1" applyAlignment="1">
      <alignment horizontal="right"/>
    </xf>
    <xf numFmtId="14" fontId="5" fillId="0" borderId="79" xfId="0" applyNumberFormat="1" applyFont="1" applyFill="1" applyBorder="1"/>
    <xf numFmtId="0" fontId="44" fillId="0" borderId="80" xfId="0" applyFont="1" applyFill="1" applyBorder="1"/>
    <xf numFmtId="14" fontId="44" fillId="0" borderId="81" xfId="0" applyNumberFormat="1" applyFont="1" applyFill="1" applyBorder="1"/>
    <xf numFmtId="14" fontId="5" fillId="0" borderId="81" xfId="0" applyNumberFormat="1" applyFont="1" applyFill="1" applyBorder="1"/>
    <xf numFmtId="0" fontId="39" fillId="0" borderId="83" xfId="0" applyFont="1" applyFill="1" applyBorder="1" applyAlignment="1">
      <alignment horizontal="right"/>
    </xf>
    <xf numFmtId="14" fontId="5" fillId="0" borderId="84" xfId="0" applyNumberFormat="1" applyFont="1" applyFill="1" applyBorder="1"/>
    <xf numFmtId="0" fontId="5" fillId="0" borderId="77" xfId="0" applyFont="1" applyFill="1" applyBorder="1" applyAlignment="1">
      <alignment vertical="center" textRotation="90"/>
    </xf>
    <xf numFmtId="0" fontId="5" fillId="0" borderId="80" xfId="0" applyFont="1" applyFill="1" applyBorder="1" applyAlignment="1">
      <alignment vertical="center" textRotation="90"/>
    </xf>
    <xf numFmtId="0" fontId="5" fillId="0" borderId="82" xfId="0" applyFont="1" applyFill="1" applyBorder="1" applyAlignment="1">
      <alignment vertical="center" textRotation="90"/>
    </xf>
    <xf numFmtId="0" fontId="39" fillId="0" borderId="83" xfId="0" applyFont="1" applyFill="1" applyBorder="1"/>
    <xf numFmtId="0" fontId="5" fillId="0" borderId="78" xfId="0" applyFont="1" applyFill="1" applyBorder="1" applyAlignment="1"/>
    <xf numFmtId="14" fontId="5" fillId="0" borderId="79" xfId="0" applyNumberFormat="1" applyFont="1" applyFill="1" applyBorder="1" applyAlignment="1"/>
    <xf numFmtId="14" fontId="5" fillId="0" borderId="81" xfId="0" applyNumberFormat="1" applyFont="1" applyFill="1" applyBorder="1" applyAlignment="1"/>
    <xf numFmtId="0" fontId="5" fillId="0" borderId="81" xfId="0" applyFont="1" applyFill="1" applyBorder="1" applyAlignment="1"/>
    <xf numFmtId="0" fontId="5" fillId="0" borderId="83" xfId="0" applyFont="1" applyFill="1" applyBorder="1" applyAlignment="1"/>
    <xf numFmtId="0" fontId="5" fillId="0" borderId="84" xfId="0" applyFont="1" applyFill="1" applyBorder="1" applyAlignment="1"/>
    <xf numFmtId="0" fontId="72" fillId="0" borderId="0" xfId="0" applyFont="1" applyFill="1" applyBorder="1" applyProtection="1">
      <protection locked="0"/>
    </xf>
    <xf numFmtId="0" fontId="5" fillId="0" borderId="0" xfId="0" applyNumberFormat="1" applyFont="1" applyFill="1" applyBorder="1" applyProtection="1">
      <protection locked="0"/>
    </xf>
    <xf numFmtId="49" fontId="5" fillId="8" borderId="18" xfId="0" applyNumberFormat="1" applyFont="1" applyFill="1" applyBorder="1" applyProtection="1">
      <protection locked="0"/>
    </xf>
    <xf numFmtId="0" fontId="7" fillId="0" borderId="0" xfId="0" applyFont="1" applyFill="1" applyBorder="1"/>
    <xf numFmtId="164" fontId="7" fillId="0" borderId="0" xfId="0" applyNumberFormat="1" applyFont="1" applyFill="1" applyBorder="1" applyAlignment="1">
      <alignment horizontal="left"/>
    </xf>
    <xf numFmtId="14" fontId="5" fillId="0" borderId="0" xfId="0" applyNumberFormat="1" applyFont="1" applyFill="1"/>
    <xf numFmtId="0" fontId="5" fillId="11" borderId="29" xfId="0" applyFont="1" applyFill="1" applyBorder="1" applyAlignment="1">
      <alignment horizontal="left"/>
    </xf>
    <xf numFmtId="0" fontId="5" fillId="11" borderId="30" xfId="0" applyFont="1" applyFill="1" applyBorder="1" applyAlignment="1">
      <alignment horizontal="left"/>
    </xf>
    <xf numFmtId="0" fontId="7" fillId="0" borderId="9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left"/>
    </xf>
    <xf numFmtId="0" fontId="5" fillId="2" borderId="11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left"/>
    </xf>
    <xf numFmtId="0" fontId="5" fillId="0" borderId="12" xfId="0" applyFont="1" applyFill="1" applyBorder="1" applyAlignment="1">
      <alignment horizontal="left"/>
    </xf>
    <xf numFmtId="14" fontId="5" fillId="0" borderId="13" xfId="0" applyNumberFormat="1" applyFont="1" applyFill="1" applyBorder="1"/>
    <xf numFmtId="0" fontId="5" fillId="0" borderId="17" xfId="0" applyFont="1" applyFill="1" applyBorder="1" applyAlignment="1">
      <alignment horizontal="left"/>
    </xf>
    <xf numFmtId="14" fontId="5" fillId="0" borderId="18" xfId="0" applyNumberFormat="1" applyFont="1" applyFill="1" applyBorder="1"/>
    <xf numFmtId="165" fontId="5" fillId="0" borderId="17" xfId="0" applyNumberFormat="1" applyFont="1" applyFill="1" applyBorder="1" applyAlignment="1">
      <alignment horizontal="left"/>
    </xf>
    <xf numFmtId="165" fontId="5" fillId="0" borderId="23" xfId="0" applyNumberFormat="1" applyFont="1" applyFill="1" applyBorder="1" applyAlignment="1">
      <alignment horizontal="left"/>
    </xf>
    <xf numFmtId="14" fontId="5" fillId="0" borderId="24" xfId="0" applyNumberFormat="1" applyFont="1" applyFill="1" applyBorder="1"/>
    <xf numFmtId="165" fontId="5" fillId="0" borderId="0" xfId="0" applyNumberFormat="1" applyFont="1" applyFill="1" applyBorder="1" applyAlignment="1">
      <alignment horizontal="left"/>
    </xf>
    <xf numFmtId="47" fontId="5" fillId="0" borderId="0" xfId="0" applyNumberFormat="1" applyFont="1" applyFill="1" applyBorder="1" applyAlignment="1">
      <alignment horizontal="left"/>
    </xf>
    <xf numFmtId="0" fontId="5" fillId="0" borderId="18" xfId="0" applyFont="1" applyFill="1" applyBorder="1" applyAlignment="1">
      <alignment horizontal="center"/>
    </xf>
    <xf numFmtId="0" fontId="5" fillId="3" borderId="60" xfId="0" applyFont="1" applyFill="1" applyBorder="1"/>
    <xf numFmtId="0" fontId="5" fillId="0" borderId="91" xfId="0" applyFont="1" applyFill="1" applyBorder="1" applyAlignment="1">
      <alignment horizontal="center"/>
    </xf>
    <xf numFmtId="167" fontId="5" fillId="0" borderId="92" xfId="0" applyNumberFormat="1" applyFont="1" applyFill="1" applyBorder="1" applyAlignment="1">
      <alignment horizontal="center"/>
    </xf>
    <xf numFmtId="166" fontId="5" fillId="7" borderId="40" xfId="0" applyNumberFormat="1" applyFont="1" applyFill="1" applyBorder="1"/>
    <xf numFmtId="0" fontId="5" fillId="0" borderId="92" xfId="0" applyFont="1" applyFill="1" applyBorder="1" applyAlignment="1">
      <alignment horizontal="center"/>
    </xf>
    <xf numFmtId="0" fontId="5" fillId="0" borderId="93" xfId="0" applyFont="1" applyFill="1" applyBorder="1" applyAlignment="1">
      <alignment horizontal="center"/>
    </xf>
    <xf numFmtId="166" fontId="5" fillId="0" borderId="76" xfId="0" applyNumberFormat="1" applyFont="1" applyFill="1" applyBorder="1" applyAlignment="1">
      <alignment horizontal="center"/>
    </xf>
    <xf numFmtId="0" fontId="18" fillId="23" borderId="42" xfId="0" applyFont="1" applyFill="1" applyBorder="1" applyAlignment="1" applyProtection="1">
      <alignment horizontal="center"/>
      <protection locked="0"/>
    </xf>
    <xf numFmtId="0" fontId="73" fillId="20" borderId="42" xfId="0" applyFont="1" applyFill="1" applyBorder="1" applyAlignment="1" applyProtection="1">
      <alignment horizontal="center"/>
      <protection locked="0"/>
    </xf>
    <xf numFmtId="14" fontId="5" fillId="8" borderId="13" xfId="0" applyNumberFormat="1" applyFont="1" applyFill="1" applyBorder="1" applyAlignment="1">
      <alignment horizontal="left"/>
    </xf>
    <xf numFmtId="14" fontId="5" fillId="8" borderId="18" xfId="0" applyNumberFormat="1" applyFont="1" applyFill="1" applyBorder="1" applyAlignment="1">
      <alignment horizontal="left"/>
    </xf>
    <xf numFmtId="49" fontId="5" fillId="8" borderId="24" xfId="0" applyNumberFormat="1" applyFont="1" applyFill="1" applyBorder="1" applyProtection="1">
      <protection locked="0"/>
    </xf>
    <xf numFmtId="166" fontId="5" fillId="0" borderId="76" xfId="0" applyNumberFormat="1" applyFont="1" applyFill="1" applyBorder="1" applyAlignment="1">
      <alignment horizontal="center"/>
    </xf>
    <xf numFmtId="0" fontId="59" fillId="26" borderId="0" xfId="0" applyFont="1" applyFill="1"/>
    <xf numFmtId="0" fontId="5" fillId="26" borderId="0" xfId="0" applyFont="1" applyFill="1"/>
    <xf numFmtId="0" fontId="64" fillId="26" borderId="0" xfId="0" applyFont="1" applyFill="1" applyAlignment="1"/>
    <xf numFmtId="0" fontId="60" fillId="26" borderId="0" xfId="0" applyFont="1" applyFill="1" applyAlignment="1"/>
    <xf numFmtId="0" fontId="8" fillId="26" borderId="0" xfId="0" applyFont="1" applyFill="1"/>
    <xf numFmtId="0" fontId="59" fillId="26" borderId="0" xfId="0" applyFont="1" applyFill="1" applyBorder="1"/>
    <xf numFmtId="0" fontId="5" fillId="26" borderId="0" xfId="0" applyFont="1" applyFill="1" applyBorder="1"/>
    <xf numFmtId="0" fontId="59" fillId="26" borderId="0" xfId="0" applyFont="1" applyFill="1" applyAlignment="1">
      <alignment horizontal="left"/>
    </xf>
    <xf numFmtId="0" fontId="14" fillId="26" borderId="0" xfId="0" applyFont="1" applyFill="1" applyBorder="1" applyAlignment="1"/>
    <xf numFmtId="49" fontId="21" fillId="26" borderId="0" xfId="0" applyNumberFormat="1" applyFont="1" applyFill="1" applyBorder="1" applyAlignment="1">
      <alignment horizontal="center"/>
    </xf>
    <xf numFmtId="172" fontId="21" fillId="26" borderId="0" xfId="0" applyNumberFormat="1" applyFont="1" applyFill="1" applyBorder="1" applyAlignment="1">
      <alignment horizontal="center"/>
    </xf>
    <xf numFmtId="0" fontId="5" fillId="26" borderId="0" xfId="0" applyFont="1" applyFill="1" applyBorder="1" applyAlignment="1">
      <alignment horizontal="center"/>
    </xf>
    <xf numFmtId="0" fontId="76" fillId="26" borderId="0" xfId="0" applyFont="1" applyFill="1"/>
    <xf numFmtId="0" fontId="77" fillId="26" borderId="0" xfId="0" applyFont="1" applyFill="1" applyAlignment="1"/>
    <xf numFmtId="0" fontId="78" fillId="26" borderId="0" xfId="0" applyFont="1" applyFill="1" applyBorder="1" applyProtection="1">
      <protection locked="0"/>
    </xf>
    <xf numFmtId="0" fontId="76" fillId="26" borderId="0" xfId="0" applyFont="1" applyFill="1" applyBorder="1"/>
    <xf numFmtId="0" fontId="76" fillId="26" borderId="0" xfId="0" applyFont="1" applyFill="1" applyAlignment="1">
      <alignment horizontal="left"/>
    </xf>
    <xf numFmtId="0" fontId="5" fillId="26" borderId="0" xfId="0" applyFont="1" applyFill="1" applyAlignment="1">
      <alignment vertical="center"/>
    </xf>
    <xf numFmtId="0" fontId="5" fillId="26" borderId="0" xfId="0" applyFont="1" applyFill="1" applyAlignment="1">
      <alignment horizontal="left"/>
    </xf>
    <xf numFmtId="0" fontId="5" fillId="26" borderId="0" xfId="0" applyFont="1" applyFill="1" applyAlignment="1">
      <alignment horizontal="right"/>
    </xf>
    <xf numFmtId="0" fontId="60" fillId="26" borderId="0" xfId="0" applyFont="1" applyFill="1" applyAlignment="1">
      <alignment horizontal="left"/>
    </xf>
    <xf numFmtId="0" fontId="60" fillId="26" borderId="0" xfId="0" applyFont="1" applyFill="1" applyAlignment="1">
      <alignment horizontal="right"/>
    </xf>
    <xf numFmtId="22" fontId="59" fillId="26" borderId="0" xfId="0" applyNumberFormat="1" applyFont="1" applyFill="1"/>
    <xf numFmtId="0" fontId="17" fillId="26" borderId="0" xfId="0" applyFont="1" applyFill="1" applyAlignment="1">
      <alignment horizontal="left"/>
    </xf>
    <xf numFmtId="0" fontId="5" fillId="26" borderId="0" xfId="0" applyFont="1" applyFill="1" applyBorder="1" applyAlignment="1">
      <alignment horizontal="left"/>
    </xf>
    <xf numFmtId="0" fontId="5" fillId="26" borderId="0" xfId="0" applyFont="1" applyFill="1" applyBorder="1" applyAlignment="1">
      <alignment horizontal="right"/>
    </xf>
    <xf numFmtId="0" fontId="5" fillId="26" borderId="0" xfId="0" applyFont="1" applyFill="1" applyBorder="1" applyAlignment="1">
      <alignment horizontal="right" vertical="center"/>
    </xf>
    <xf numFmtId="0" fontId="71" fillId="26" borderId="0" xfId="0" applyFont="1" applyFill="1" applyBorder="1" applyAlignment="1">
      <alignment horizontal="right" vertical="center"/>
    </xf>
    <xf numFmtId="16" fontId="36" fillId="26" borderId="0" xfId="0" applyNumberFormat="1" applyFont="1" applyFill="1" applyBorder="1" applyAlignment="1">
      <alignment horizontal="right" vertical="center"/>
    </xf>
    <xf numFmtId="0" fontId="7" fillId="26" borderId="0" xfId="0" applyFont="1" applyFill="1" applyBorder="1" applyAlignment="1"/>
    <xf numFmtId="0" fontId="71" fillId="26" borderId="0" xfId="0" applyFont="1" applyFill="1" applyBorder="1" applyAlignment="1">
      <alignment vertical="center"/>
    </xf>
    <xf numFmtId="0" fontId="5" fillId="26" borderId="0" xfId="0" applyFont="1" applyFill="1" applyBorder="1" applyAlignment="1">
      <alignment vertical="center"/>
    </xf>
    <xf numFmtId="0" fontId="21" fillId="26" borderId="0" xfId="0" applyFont="1" applyFill="1" applyBorder="1" applyAlignment="1">
      <alignment vertical="center"/>
    </xf>
    <xf numFmtId="0" fontId="59" fillId="26" borderId="0" xfId="0" applyFont="1" applyFill="1" applyBorder="1" applyAlignment="1">
      <alignment horizontal="left"/>
    </xf>
    <xf numFmtId="0" fontId="59" fillId="26" borderId="0" xfId="0" applyFont="1" applyFill="1" applyBorder="1" applyAlignment="1">
      <alignment horizontal="right"/>
    </xf>
    <xf numFmtId="0" fontId="59" fillId="26" borderId="0" xfId="0" applyFont="1" applyFill="1" applyAlignment="1">
      <alignment horizontal="right"/>
    </xf>
    <xf numFmtId="0" fontId="59" fillId="26" borderId="0" xfId="0" applyFont="1" applyFill="1" applyAlignment="1"/>
    <xf numFmtId="0" fontId="59" fillId="26" borderId="0" xfId="0" quotePrefix="1" applyFont="1" applyFill="1"/>
    <xf numFmtId="0" fontId="76" fillId="26" borderId="0" xfId="0" applyFont="1" applyFill="1" applyAlignment="1">
      <alignment vertical="center"/>
    </xf>
    <xf numFmtId="22" fontId="76" fillId="26" borderId="0" xfId="0" applyNumberFormat="1" applyFont="1" applyFill="1"/>
    <xf numFmtId="0" fontId="76" fillId="26" borderId="0" xfId="0" applyNumberFormat="1" applyFont="1" applyFill="1"/>
    <xf numFmtId="0" fontId="76" fillId="26" borderId="0" xfId="0" applyFont="1" applyFill="1" applyBorder="1" applyAlignment="1">
      <alignment vertical="center"/>
    </xf>
    <xf numFmtId="16" fontId="6" fillId="26" borderId="0" xfId="0" applyNumberFormat="1" applyFont="1" applyFill="1" applyBorder="1" applyAlignment="1">
      <alignment horizontal="left" vertical="center"/>
    </xf>
    <xf numFmtId="0" fontId="74" fillId="26" borderId="0" xfId="0" applyFont="1" applyFill="1" applyBorder="1" applyAlignment="1">
      <alignment vertical="center"/>
    </xf>
    <xf numFmtId="0" fontId="75" fillId="26" borderId="0" xfId="0" applyFont="1" applyFill="1" applyBorder="1" applyAlignment="1">
      <alignment vertical="center"/>
    </xf>
    <xf numFmtId="0" fontId="79" fillId="26" borderId="0" xfId="0" applyFont="1" applyFill="1" applyBorder="1" applyAlignment="1">
      <alignment horizontal="center" vertical="center"/>
    </xf>
    <xf numFmtId="14" fontId="40" fillId="26" borderId="0" xfId="0" applyNumberFormat="1" applyFont="1" applyFill="1" applyBorder="1" applyAlignment="1">
      <alignment vertical="center"/>
    </xf>
    <xf numFmtId="0" fontId="40" fillId="26" borderId="0" xfId="0" applyFont="1" applyFill="1" applyBorder="1" applyAlignment="1">
      <alignment vertical="center"/>
    </xf>
    <xf numFmtId="0" fontId="80" fillId="26" borderId="0" xfId="0" applyFont="1" applyFill="1" applyBorder="1" applyAlignment="1">
      <alignment horizontal="center" vertical="center"/>
    </xf>
    <xf numFmtId="14" fontId="40" fillId="26" borderId="0" xfId="0" applyNumberFormat="1" applyFont="1" applyFill="1" applyBorder="1" applyAlignment="1">
      <alignment horizontal="left" vertical="center"/>
    </xf>
    <xf numFmtId="0" fontId="40" fillId="26" borderId="0" xfId="0" applyFont="1" applyFill="1" applyBorder="1" applyAlignment="1">
      <alignment horizontal="center" vertical="center"/>
    </xf>
    <xf numFmtId="0" fontId="36" fillId="26" borderId="0" xfId="0" applyFont="1" applyFill="1" applyBorder="1" applyAlignment="1">
      <alignment horizontal="right" vertical="center"/>
    </xf>
    <xf numFmtId="0" fontId="8" fillId="26" borderId="0" xfId="0" applyFont="1" applyFill="1" applyBorder="1"/>
    <xf numFmtId="0" fontId="5" fillId="26" borderId="0" xfId="0" applyFont="1" applyFill="1" applyBorder="1" applyAlignment="1"/>
    <xf numFmtId="0" fontId="5" fillId="26" borderId="0" xfId="0" applyFont="1" applyFill="1" applyBorder="1" applyAlignment="1">
      <alignment horizontal="center" vertical="center"/>
    </xf>
    <xf numFmtId="0" fontId="8" fillId="26" borderId="0" xfId="0" applyFont="1" applyFill="1" applyBorder="1" applyAlignment="1">
      <alignment horizontal="center"/>
    </xf>
    <xf numFmtId="14" fontId="5" fillId="26" borderId="0" xfId="0" applyNumberFormat="1" applyFont="1" applyFill="1" applyBorder="1"/>
    <xf numFmtId="0" fontId="6" fillId="25" borderId="76" xfId="0" applyFont="1" applyFill="1" applyBorder="1" applyAlignment="1">
      <alignment horizontal="center" vertical="center"/>
    </xf>
    <xf numFmtId="0" fontId="59" fillId="26" borderId="0" xfId="0" applyFont="1" applyFill="1" applyBorder="1" applyAlignment="1">
      <alignment vertical="center"/>
    </xf>
    <xf numFmtId="0" fontId="15" fillId="25" borderId="76" xfId="0" applyFont="1" applyFill="1" applyBorder="1" applyAlignment="1">
      <alignment horizontal="center" vertical="center"/>
    </xf>
    <xf numFmtId="0" fontId="21" fillId="26" borderId="0" xfId="0" applyFont="1" applyFill="1" applyBorder="1" applyAlignment="1">
      <alignment horizontal="center" vertical="center"/>
    </xf>
    <xf numFmtId="0" fontId="59" fillId="16" borderId="0" xfId="0" applyFont="1" applyFill="1" applyBorder="1"/>
    <xf numFmtId="0" fontId="5" fillId="16" borderId="0" xfId="0" applyFont="1" applyFill="1" applyBorder="1"/>
    <xf numFmtId="0" fontId="64" fillId="16" borderId="0" xfId="0" applyFont="1" applyFill="1" applyBorder="1" applyAlignment="1"/>
    <xf numFmtId="0" fontId="60" fillId="16" borderId="0" xfId="0" applyFont="1" applyFill="1" applyBorder="1" applyAlignment="1"/>
    <xf numFmtId="0" fontId="8" fillId="16" borderId="0" xfId="0" applyFont="1" applyFill="1" applyBorder="1"/>
    <xf numFmtId="0" fontId="62" fillId="16" borderId="0" xfId="0" applyFont="1" applyFill="1" applyBorder="1" applyAlignment="1">
      <alignment horizontal="left"/>
    </xf>
    <xf numFmtId="0" fontId="62" fillId="16" borderId="0" xfId="0" applyFont="1" applyFill="1" applyBorder="1" applyAlignment="1">
      <alignment horizontal="right"/>
    </xf>
    <xf numFmtId="14" fontId="5" fillId="16" borderId="0" xfId="0" applyNumberFormat="1" applyFont="1" applyFill="1" applyBorder="1"/>
    <xf numFmtId="0" fontId="5" fillId="16" borderId="77" xfId="0" applyFont="1" applyFill="1" applyBorder="1"/>
    <xf numFmtId="0" fontId="5" fillId="16" borderId="78" xfId="0" applyFont="1" applyFill="1" applyBorder="1"/>
    <xf numFmtId="0" fontId="14" fillId="16" borderId="78" xfId="0" applyFont="1" applyFill="1" applyBorder="1" applyAlignment="1">
      <alignment horizontal="right"/>
    </xf>
    <xf numFmtId="0" fontId="14" fillId="16" borderId="78" xfId="0" applyFont="1" applyFill="1" applyBorder="1" applyAlignment="1">
      <alignment horizontal="left"/>
    </xf>
    <xf numFmtId="14" fontId="5" fillId="16" borderId="78" xfId="0" applyNumberFormat="1" applyFont="1" applyFill="1" applyBorder="1"/>
    <xf numFmtId="0" fontId="5" fillId="16" borderId="79" xfId="0" applyFont="1" applyFill="1" applyBorder="1"/>
    <xf numFmtId="20" fontId="5" fillId="16" borderId="0" xfId="0" applyNumberFormat="1" applyFont="1" applyFill="1" applyBorder="1"/>
    <xf numFmtId="0" fontId="76" fillId="16" borderId="0" xfId="0" applyFont="1" applyFill="1" applyBorder="1" applyAlignment="1">
      <alignment horizontal="left"/>
    </xf>
    <xf numFmtId="0" fontId="77" fillId="16" borderId="0" xfId="0" applyFont="1" applyFill="1" applyBorder="1" applyAlignment="1">
      <alignment horizontal="left"/>
    </xf>
    <xf numFmtId="0" fontId="78" fillId="16" borderId="0" xfId="0" applyFont="1" applyFill="1" applyBorder="1" applyAlignment="1" applyProtection="1">
      <alignment horizontal="left"/>
      <protection locked="0"/>
    </xf>
    <xf numFmtId="0" fontId="76" fillId="16" borderId="0" xfId="0" applyFont="1" applyFill="1" applyBorder="1" applyAlignment="1" applyProtection="1">
      <alignment horizontal="left"/>
      <protection locked="0"/>
    </xf>
    <xf numFmtId="0" fontId="59" fillId="16" borderId="0" xfId="0" applyFont="1" applyFill="1"/>
    <xf numFmtId="0" fontId="5" fillId="16" borderId="0" xfId="0" applyFont="1" applyFill="1"/>
    <xf numFmtId="0" fontId="64" fillId="16" borderId="0" xfId="0" applyFont="1" applyFill="1" applyAlignment="1"/>
    <xf numFmtId="0" fontId="60" fillId="16" borderId="0" xfId="0" applyFont="1" applyFill="1" applyAlignment="1"/>
    <xf numFmtId="0" fontId="8" fillId="16" borderId="0" xfId="0" applyFont="1" applyFill="1"/>
    <xf numFmtId="0" fontId="14" fillId="16" borderId="0" xfId="0" applyFont="1" applyFill="1" applyBorder="1" applyAlignment="1"/>
    <xf numFmtId="0" fontId="21" fillId="16" borderId="0" xfId="0" applyFont="1" applyFill="1" applyBorder="1" applyAlignment="1">
      <alignment horizontal="center"/>
    </xf>
    <xf numFmtId="49" fontId="21" fillId="16" borderId="0" xfId="0" applyNumberFormat="1" applyFont="1" applyFill="1" applyBorder="1" applyAlignment="1">
      <alignment horizontal="center"/>
    </xf>
    <xf numFmtId="172" fontId="21" fillId="16" borderId="0" xfId="0" applyNumberFormat="1" applyFont="1" applyFill="1" applyBorder="1" applyAlignment="1">
      <alignment horizontal="center"/>
    </xf>
    <xf numFmtId="0" fontId="76" fillId="16" borderId="0" xfId="0" applyFont="1" applyFill="1"/>
    <xf numFmtId="0" fontId="77" fillId="16" borderId="0" xfId="0" applyFont="1" applyFill="1" applyAlignment="1"/>
    <xf numFmtId="0" fontId="78" fillId="16" borderId="0" xfId="0" applyFont="1" applyFill="1" applyBorder="1" applyProtection="1">
      <protection locked="0"/>
    </xf>
    <xf numFmtId="0" fontId="76" fillId="16" borderId="0" xfId="0" applyFont="1" applyFill="1" applyBorder="1"/>
    <xf numFmtId="0" fontId="76" fillId="16" borderId="0" xfId="0" applyFont="1" applyFill="1" applyAlignment="1">
      <alignment horizontal="left"/>
    </xf>
    <xf numFmtId="0" fontId="76" fillId="16" borderId="0" xfId="0" applyFont="1" applyFill="1" applyAlignment="1">
      <alignment vertical="center"/>
    </xf>
    <xf numFmtId="0" fontId="59" fillId="16" borderId="0" xfId="0" applyFont="1" applyFill="1" applyBorder="1" applyAlignment="1">
      <alignment vertical="center"/>
    </xf>
    <xf numFmtId="0" fontId="5" fillId="16" borderId="0" xfId="0" applyFont="1" applyFill="1" applyAlignment="1">
      <alignment vertical="center"/>
    </xf>
    <xf numFmtId="0" fontId="21" fillId="16" borderId="0" xfId="0" applyFont="1" applyFill="1" applyBorder="1" applyAlignment="1">
      <alignment horizontal="center" vertical="center"/>
    </xf>
    <xf numFmtId="0" fontId="5" fillId="16" borderId="0" xfId="0" applyFont="1" applyFill="1" applyBorder="1" applyAlignment="1">
      <alignment vertical="center"/>
    </xf>
    <xf numFmtId="0" fontId="5" fillId="16" borderId="0" xfId="0" applyFont="1" applyFill="1" applyBorder="1" applyAlignment="1">
      <alignment horizontal="center"/>
    </xf>
    <xf numFmtId="0" fontId="58" fillId="16" borderId="0" xfId="0" applyFont="1" applyFill="1"/>
    <xf numFmtId="0" fontId="81" fillId="16" borderId="0" xfId="0" applyFont="1" applyFill="1" applyAlignment="1"/>
    <xf numFmtId="0" fontId="82" fillId="16" borderId="0" xfId="0" applyFont="1" applyFill="1" applyBorder="1" applyProtection="1">
      <protection locked="0"/>
    </xf>
    <xf numFmtId="0" fontId="58" fillId="16" borderId="0" xfId="0" applyFont="1" applyFill="1" applyBorder="1"/>
    <xf numFmtId="0" fontId="5" fillId="26" borderId="0" xfId="0" applyFont="1" applyFill="1" applyBorder="1" applyAlignment="1">
      <alignment horizontal="center"/>
    </xf>
    <xf numFmtId="0" fontId="6" fillId="26" borderId="0" xfId="0" applyFont="1" applyFill="1" applyAlignment="1">
      <alignment horizontal="right"/>
    </xf>
    <xf numFmtId="0" fontId="6" fillId="26" borderId="0" xfId="0" applyFont="1" applyFill="1"/>
    <xf numFmtId="0" fontId="56" fillId="26" borderId="0" xfId="0" applyFont="1" applyFill="1" applyAlignment="1">
      <alignment horizontal="right"/>
    </xf>
    <xf numFmtId="0" fontId="11" fillId="26" borderId="0" xfId="0" applyFont="1" applyFill="1" applyAlignment="1">
      <alignment horizontal="left"/>
    </xf>
    <xf numFmtId="0" fontId="11" fillId="26" borderId="0" xfId="0" applyFont="1" applyFill="1" applyAlignment="1"/>
    <xf numFmtId="0" fontId="56" fillId="26" borderId="0" xfId="0" applyFont="1" applyFill="1" applyAlignment="1"/>
    <xf numFmtId="0" fontId="12" fillId="26" borderId="0" xfId="0" applyFont="1" applyFill="1"/>
    <xf numFmtId="0" fontId="6" fillId="26" borderId="0" xfId="0" applyFont="1" applyFill="1" applyBorder="1" applyAlignment="1">
      <alignment horizontal="right"/>
    </xf>
    <xf numFmtId="0" fontId="6" fillId="26" borderId="0" xfId="0" applyFont="1" applyFill="1" applyBorder="1"/>
    <xf numFmtId="0" fontId="22" fillId="26" borderId="0" xfId="0" applyFont="1" applyFill="1" applyBorder="1" applyAlignment="1"/>
    <xf numFmtId="0" fontId="23" fillId="26" borderId="0" xfId="0" applyFont="1" applyFill="1" applyBorder="1"/>
    <xf numFmtId="0" fontId="26" fillId="26" borderId="0" xfId="0" applyFont="1" applyFill="1" applyBorder="1" applyAlignment="1">
      <alignment horizontal="center"/>
    </xf>
    <xf numFmtId="0" fontId="57" fillId="26" borderId="0" xfId="0" applyFont="1" applyFill="1" applyBorder="1" applyAlignment="1">
      <alignment horizontal="center"/>
    </xf>
    <xf numFmtId="0" fontId="24" fillId="26" borderId="0" xfId="0" applyFont="1" applyFill="1" applyBorder="1" applyAlignment="1">
      <alignment horizontal="center"/>
    </xf>
    <xf numFmtId="0" fontId="6" fillId="26" borderId="0" xfId="0" applyFont="1" applyFill="1" applyAlignment="1">
      <alignment horizontal="left"/>
    </xf>
    <xf numFmtId="0" fontId="15" fillId="26" borderId="0" xfId="0" applyFont="1" applyFill="1"/>
    <xf numFmtId="0" fontId="66" fillId="26" borderId="0" xfId="0" applyFont="1" applyFill="1" applyBorder="1"/>
    <xf numFmtId="0" fontId="37" fillId="26" borderId="0" xfId="0" applyFont="1" applyFill="1" applyBorder="1" applyAlignment="1">
      <alignment horizontal="left"/>
    </xf>
    <xf numFmtId="0" fontId="5" fillId="26" borderId="0" xfId="0" applyFont="1" applyFill="1" applyAlignment="1">
      <alignment horizontal="center"/>
    </xf>
    <xf numFmtId="0" fontId="70" fillId="26" borderId="0" xfId="0" applyFont="1" applyFill="1"/>
    <xf numFmtId="0" fontId="17" fillId="26" borderId="0" xfId="0" applyFont="1" applyFill="1"/>
    <xf numFmtId="0" fontId="17" fillId="26" borderId="0" xfId="0" applyFont="1" applyFill="1" applyBorder="1"/>
    <xf numFmtId="0" fontId="17" fillId="26" borderId="0" xfId="0" applyFont="1" applyFill="1" applyBorder="1" applyAlignment="1">
      <alignment horizontal="center"/>
    </xf>
    <xf numFmtId="0" fontId="69" fillId="26" borderId="0" xfId="0" applyFont="1" applyFill="1" applyBorder="1"/>
    <xf numFmtId="0" fontId="70" fillId="26" borderId="0" xfId="0" applyFont="1" applyFill="1" applyAlignment="1">
      <alignment horizontal="right"/>
    </xf>
    <xf numFmtId="0" fontId="27" fillId="26" borderId="0" xfId="0" applyFont="1" applyFill="1" applyBorder="1"/>
    <xf numFmtId="0" fontId="6" fillId="26" borderId="0" xfId="0" applyFont="1" applyFill="1" applyBorder="1" applyAlignment="1">
      <alignment horizontal="center"/>
    </xf>
    <xf numFmtId="0" fontId="76" fillId="26" borderId="0" xfId="0" applyFont="1" applyFill="1" applyBorder="1" applyAlignment="1" applyProtection="1">
      <alignment horizontal="left"/>
      <protection locked="0"/>
    </xf>
    <xf numFmtId="0" fontId="68" fillId="26" borderId="0" xfId="0" applyFont="1" applyFill="1"/>
    <xf numFmtId="0" fontId="15" fillId="26" borderId="0" xfId="0" applyFont="1" applyFill="1" applyBorder="1"/>
    <xf numFmtId="0" fontId="38" fillId="26" borderId="0" xfId="0" applyFont="1" applyFill="1"/>
    <xf numFmtId="0" fontId="15" fillId="26" borderId="0" xfId="0" applyFont="1" applyFill="1" applyBorder="1" applyAlignment="1">
      <alignment horizontal="right"/>
    </xf>
    <xf numFmtId="0" fontId="38" fillId="26" borderId="0" xfId="0" applyFont="1" applyFill="1" applyAlignment="1">
      <alignment horizontal="right"/>
    </xf>
    <xf numFmtId="166" fontId="5" fillId="0" borderId="76" xfId="0" applyNumberFormat="1" applyFont="1" applyFill="1" applyBorder="1" applyAlignment="1">
      <alignment horizontal="center"/>
    </xf>
    <xf numFmtId="0" fontId="5" fillId="0" borderId="76" xfId="0" applyFont="1" applyFill="1" applyBorder="1" applyAlignment="1">
      <alignment horizontal="center"/>
    </xf>
    <xf numFmtId="0" fontId="5" fillId="26" borderId="0" xfId="0" applyFont="1" applyFill="1" applyBorder="1" applyAlignment="1">
      <alignment horizontal="center"/>
    </xf>
    <xf numFmtId="0" fontId="25" fillId="26" borderId="0" xfId="0" applyFont="1" applyFill="1" applyBorder="1" applyAlignment="1"/>
    <xf numFmtId="0" fontId="19" fillId="26" borderId="0" xfId="0" applyFont="1" applyFill="1" applyBorder="1"/>
    <xf numFmtId="49" fontId="5" fillId="26" borderId="0" xfId="0" applyNumberFormat="1" applyFont="1" applyFill="1" applyBorder="1" applyAlignment="1">
      <alignment vertical="center"/>
    </xf>
    <xf numFmtId="0" fontId="7" fillId="26" borderId="0" xfId="0" applyNumberFormat="1" applyFont="1" applyFill="1" applyBorder="1" applyAlignment="1">
      <alignment vertical="center"/>
    </xf>
    <xf numFmtId="0" fontId="29" fillId="26" borderId="0" xfId="0" applyNumberFormat="1" applyFont="1" applyFill="1" applyBorder="1" applyAlignment="1">
      <alignment vertical="center"/>
    </xf>
    <xf numFmtId="168" fontId="67" fillId="26" borderId="0" xfId="0" applyNumberFormat="1" applyFont="1" applyFill="1" applyBorder="1" applyAlignment="1" applyProtection="1">
      <alignment vertical="top" wrapText="1"/>
      <protection locked="0"/>
    </xf>
    <xf numFmtId="0" fontId="28" fillId="26" borderId="0" xfId="0" applyFont="1" applyFill="1"/>
    <xf numFmtId="166" fontId="15" fillId="26" borderId="0" xfId="0" applyNumberFormat="1" applyFont="1" applyFill="1" applyBorder="1" applyAlignment="1" applyProtection="1">
      <alignment horizontal="center"/>
      <protection locked="0"/>
    </xf>
    <xf numFmtId="0" fontId="15" fillId="26" borderId="0" xfId="0" applyFont="1" applyFill="1" applyProtection="1">
      <protection locked="0"/>
    </xf>
    <xf numFmtId="0" fontId="6" fillId="25" borderId="76" xfId="0" applyFont="1" applyFill="1" applyBorder="1" applyAlignment="1">
      <alignment horizontal="center"/>
    </xf>
    <xf numFmtId="168" fontId="15" fillId="25" borderId="76" xfId="0" applyNumberFormat="1" applyFont="1" applyFill="1" applyBorder="1" applyAlignment="1" applyProtection="1">
      <alignment horizontal="center"/>
      <protection locked="0"/>
    </xf>
    <xf numFmtId="0" fontId="59" fillId="26" borderId="0" xfId="0" applyFont="1" applyFill="1" applyBorder="1" applyAlignment="1" applyProtection="1">
      <alignment horizontal="left"/>
      <protection locked="0"/>
    </xf>
    <xf numFmtId="0" fontId="13" fillId="26" borderId="0" xfId="0" applyFont="1" applyFill="1" applyAlignment="1">
      <alignment horizontal="left"/>
    </xf>
    <xf numFmtId="0" fontId="16" fillId="26" borderId="0" xfId="0" applyFont="1" applyFill="1" applyAlignment="1">
      <alignment vertical="top"/>
    </xf>
    <xf numFmtId="0" fontId="13" fillId="26" borderId="0" xfId="0" applyFont="1" applyFill="1" applyAlignment="1">
      <alignment horizontal="right"/>
    </xf>
    <xf numFmtId="0" fontId="21" fillId="26" borderId="0" xfId="0" applyFont="1" applyFill="1" applyBorder="1" applyAlignment="1">
      <alignment horizontal="center"/>
    </xf>
    <xf numFmtId="0" fontId="5" fillId="26" borderId="19" xfId="0" applyFont="1" applyFill="1" applyBorder="1"/>
    <xf numFmtId="0" fontId="21" fillId="26" borderId="0" xfId="0" applyFont="1" applyFill="1" applyBorder="1" applyAlignment="1" applyProtection="1">
      <alignment horizontal="center"/>
      <protection locked="0"/>
    </xf>
    <xf numFmtId="0" fontId="76" fillId="26" borderId="0" xfId="0" applyFont="1" applyFill="1" applyBorder="1" applyAlignment="1">
      <alignment horizontal="left"/>
    </xf>
    <xf numFmtId="0" fontId="46" fillId="26" borderId="0" xfId="0" applyFont="1" applyFill="1"/>
    <xf numFmtId="0" fontId="47" fillId="26" borderId="0" xfId="0" applyFont="1" applyFill="1" applyAlignment="1"/>
    <xf numFmtId="0" fontId="48" fillId="26" borderId="0" xfId="0" applyFont="1" applyFill="1"/>
    <xf numFmtId="0" fontId="49" fillId="26" borderId="0" xfId="0" applyFont="1" applyFill="1" applyAlignment="1">
      <alignment horizontal="left"/>
    </xf>
    <xf numFmtId="0" fontId="50" fillId="26" borderId="0" xfId="0" applyFont="1" applyFill="1" applyAlignment="1">
      <alignment vertical="top"/>
    </xf>
    <xf numFmtId="0" fontId="49" fillId="26" borderId="0" xfId="0" applyFont="1" applyFill="1" applyAlignment="1">
      <alignment horizontal="right"/>
    </xf>
    <xf numFmtId="0" fontId="46" fillId="26" borderId="0" xfId="0" applyFont="1" applyFill="1" applyBorder="1"/>
    <xf numFmtId="0" fontId="51" fillId="26" borderId="0" xfId="0" applyFont="1" applyFill="1" applyBorder="1" applyAlignment="1"/>
    <xf numFmtId="0" fontId="52" fillId="26" borderId="0" xfId="0" applyFont="1" applyFill="1" applyBorder="1" applyAlignment="1">
      <alignment horizontal="center"/>
    </xf>
    <xf numFmtId="0" fontId="53" fillId="26" borderId="0" xfId="0" applyFont="1" applyFill="1" applyBorder="1" applyAlignment="1">
      <alignment horizontal="center"/>
    </xf>
    <xf numFmtId="0" fontId="28" fillId="26" borderId="0" xfId="0" applyFont="1" applyFill="1" applyBorder="1"/>
    <xf numFmtId="0" fontId="54" fillId="26" borderId="0" xfId="0" applyFont="1" applyFill="1" applyBorder="1" applyAlignment="1">
      <alignment horizontal="center"/>
    </xf>
    <xf numFmtId="0" fontId="46" fillId="26" borderId="0" xfId="0" applyFont="1" applyFill="1" applyBorder="1" applyAlignment="1">
      <alignment horizontal="center"/>
    </xf>
    <xf numFmtId="0" fontId="46" fillId="26" borderId="0" xfId="0" applyFont="1" applyFill="1" applyBorder="1" applyAlignment="1">
      <alignment horizontal="right"/>
    </xf>
    <xf numFmtId="0" fontId="28" fillId="26" borderId="0" xfId="0" applyFont="1" applyFill="1" applyBorder="1" applyAlignment="1">
      <alignment horizontal="center"/>
    </xf>
    <xf numFmtId="171" fontId="28" fillId="26" borderId="0" xfId="0" applyNumberFormat="1" applyFont="1" applyFill="1" applyBorder="1"/>
    <xf numFmtId="0" fontId="55" fillId="26" borderId="0" xfId="0" applyFont="1" applyFill="1" applyBorder="1" applyAlignment="1">
      <alignment horizontal="center"/>
    </xf>
    <xf numFmtId="49" fontId="54" fillId="26" borderId="0" xfId="0" applyNumberFormat="1" applyFont="1" applyFill="1" applyBorder="1" applyAlignment="1">
      <alignment horizontal="center"/>
    </xf>
    <xf numFmtId="0" fontId="53" fillId="26" borderId="0" xfId="0" applyFont="1" applyFill="1" applyBorder="1" applyAlignment="1" applyProtection="1">
      <alignment horizontal="center"/>
      <protection locked="0"/>
    </xf>
    <xf numFmtId="166" fontId="28" fillId="26" borderId="0" xfId="0" applyNumberFormat="1" applyFont="1" applyFill="1" applyBorder="1" applyAlignment="1">
      <alignment horizontal="center"/>
    </xf>
    <xf numFmtId="0" fontId="8" fillId="26" borderId="0" xfId="0" applyFont="1" applyFill="1" applyAlignment="1">
      <alignment horizontal="center"/>
    </xf>
    <xf numFmtId="0" fontId="62" fillId="26" borderId="0" xfId="0" applyFont="1" applyFill="1" applyAlignment="1">
      <alignment horizontal="left"/>
    </xf>
    <xf numFmtId="0" fontId="44" fillId="26" borderId="0" xfId="0" applyFont="1" applyFill="1"/>
    <xf numFmtId="0" fontId="62" fillId="26" borderId="0" xfId="0" applyFont="1" applyFill="1" applyAlignment="1">
      <alignment horizontal="right"/>
    </xf>
    <xf numFmtId="0" fontId="20" fillId="26" borderId="0" xfId="0" applyFont="1" applyFill="1" applyBorder="1" applyProtection="1">
      <protection locked="0"/>
    </xf>
    <xf numFmtId="0" fontId="26" fillId="26" borderId="0" xfId="0" applyFont="1" applyFill="1" applyBorder="1" applyAlignment="1" applyProtection="1">
      <alignment horizontal="right"/>
      <protection locked="0"/>
    </xf>
    <xf numFmtId="0" fontId="20" fillId="26" borderId="52" xfId="0" applyFont="1" applyFill="1" applyBorder="1" applyAlignment="1" applyProtection="1">
      <alignment horizontal="center"/>
      <protection locked="0"/>
    </xf>
    <xf numFmtId="0" fontId="5" fillId="26" borderId="0" xfId="0" applyFont="1" applyFill="1" applyAlignment="1" applyProtection="1">
      <alignment vertical="center"/>
      <protection locked="0"/>
    </xf>
    <xf numFmtId="0" fontId="21" fillId="26" borderId="0" xfId="0" applyFont="1" applyFill="1" applyAlignment="1" applyProtection="1">
      <alignment horizontal="center"/>
      <protection locked="0"/>
    </xf>
    <xf numFmtId="0" fontId="4" fillId="26" borderId="0" xfId="0" applyFont="1" applyFill="1" applyAlignment="1" applyProtection="1">
      <alignment horizontal="center"/>
      <protection locked="0"/>
    </xf>
    <xf numFmtId="0" fontId="5" fillId="26" borderId="44" xfId="0" applyFont="1" applyFill="1" applyBorder="1" applyAlignment="1" applyProtection="1">
      <alignment vertical="center"/>
      <protection locked="0"/>
    </xf>
    <xf numFmtId="0" fontId="21" fillId="26" borderId="15" xfId="0" applyFont="1" applyFill="1" applyBorder="1" applyAlignment="1" applyProtection="1">
      <alignment vertical="center"/>
      <protection locked="0"/>
    </xf>
    <xf numFmtId="0" fontId="21" fillId="26" borderId="15" xfId="0" applyFont="1" applyFill="1" applyBorder="1" applyAlignment="1" applyProtection="1">
      <alignment horizontal="center"/>
      <protection locked="0"/>
    </xf>
    <xf numFmtId="0" fontId="21" fillId="26" borderId="20" xfId="0" applyFont="1" applyFill="1" applyBorder="1" applyAlignment="1" applyProtection="1">
      <alignment vertical="center"/>
      <protection locked="0"/>
    </xf>
    <xf numFmtId="0" fontId="21" fillId="26" borderId="17" xfId="0" applyFont="1" applyFill="1" applyBorder="1" applyAlignment="1" applyProtection="1">
      <alignment horizontal="center"/>
      <protection locked="0"/>
    </xf>
    <xf numFmtId="0" fontId="21" fillId="26" borderId="19" xfId="0" applyFont="1" applyFill="1" applyBorder="1" applyAlignment="1" applyProtection="1">
      <alignment horizontal="center"/>
      <protection locked="0"/>
    </xf>
    <xf numFmtId="0" fontId="21" fillId="26" borderId="58" xfId="0" applyFont="1" applyFill="1" applyBorder="1" applyAlignment="1" applyProtection="1">
      <alignment horizontal="center"/>
      <protection locked="0"/>
    </xf>
    <xf numFmtId="0" fontId="21" fillId="26" borderId="20" xfId="0" applyFont="1" applyFill="1" applyBorder="1" applyAlignment="1" applyProtection="1">
      <alignment horizontal="center"/>
      <protection locked="0"/>
    </xf>
    <xf numFmtId="0" fontId="21" fillId="26" borderId="0" xfId="0" applyFont="1" applyFill="1" applyBorder="1" applyAlignment="1" applyProtection="1">
      <alignment horizontal="right"/>
      <protection locked="0"/>
    </xf>
    <xf numFmtId="0" fontId="21" fillId="26" borderId="26" xfId="0" applyFont="1" applyFill="1" applyBorder="1" applyAlignment="1" applyProtection="1">
      <alignment vertical="center"/>
      <protection locked="0"/>
    </xf>
    <xf numFmtId="0" fontId="21" fillId="26" borderId="23" xfId="0" applyFont="1" applyFill="1" applyBorder="1" applyAlignment="1" applyProtection="1">
      <alignment horizontal="center"/>
      <protection locked="0"/>
    </xf>
    <xf numFmtId="0" fontId="21" fillId="26" borderId="25" xfId="0" applyFont="1" applyFill="1" applyBorder="1" applyAlignment="1" applyProtection="1">
      <alignment horizontal="center"/>
      <protection locked="0"/>
    </xf>
    <xf numFmtId="0" fontId="21" fillId="26" borderId="31" xfId="0" applyFont="1" applyFill="1" applyBorder="1" applyAlignment="1" applyProtection="1">
      <alignment horizontal="center"/>
      <protection locked="0"/>
    </xf>
    <xf numFmtId="0" fontId="21" fillId="26" borderId="26" xfId="0" applyFont="1" applyFill="1" applyBorder="1" applyAlignment="1" applyProtection="1">
      <alignment horizontal="center"/>
      <protection locked="0"/>
    </xf>
    <xf numFmtId="0" fontId="7" fillId="26" borderId="9" xfId="0" applyFont="1" applyFill="1" applyBorder="1" applyAlignment="1">
      <alignment horizontal="center"/>
    </xf>
    <xf numFmtId="0" fontId="7" fillId="26" borderId="4" xfId="0" applyFont="1" applyFill="1" applyBorder="1" applyAlignment="1">
      <alignment horizontal="center"/>
    </xf>
    <xf numFmtId="0" fontId="5" fillId="26" borderId="0" xfId="0" applyFont="1" applyFill="1" applyBorder="1" applyAlignment="1" applyProtection="1">
      <alignment vertical="center"/>
      <protection locked="0"/>
    </xf>
    <xf numFmtId="0" fontId="21" fillId="26" borderId="11" xfId="0" applyFont="1" applyFill="1" applyBorder="1" applyAlignment="1" applyProtection="1">
      <alignment vertical="center"/>
      <protection locked="0"/>
    </xf>
    <xf numFmtId="0" fontId="5" fillId="26" borderId="14" xfId="0" applyFont="1" applyFill="1" applyBorder="1" applyAlignment="1">
      <alignment horizontal="center"/>
    </xf>
    <xf numFmtId="0" fontId="21" fillId="26" borderId="16" xfId="0" applyFont="1" applyFill="1" applyBorder="1" applyAlignment="1" applyProtection="1">
      <alignment vertical="center"/>
      <protection locked="0"/>
    </xf>
    <xf numFmtId="0" fontId="21" fillId="26" borderId="0" xfId="0" applyFont="1" applyFill="1" applyBorder="1" applyAlignment="1" applyProtection="1">
      <protection locked="0"/>
    </xf>
    <xf numFmtId="0" fontId="21" fillId="26" borderId="22" xfId="0" applyFont="1" applyFill="1" applyBorder="1" applyAlignment="1" applyProtection="1">
      <alignment vertical="center"/>
      <protection locked="0"/>
    </xf>
    <xf numFmtId="0" fontId="21" fillId="21" borderId="76" xfId="0" applyNumberFormat="1" applyFont="1" applyFill="1" applyBorder="1" applyAlignment="1">
      <alignment horizontal="center"/>
    </xf>
    <xf numFmtId="0" fontId="5" fillId="18" borderId="76" xfId="0" applyFont="1" applyFill="1" applyBorder="1" applyAlignment="1">
      <alignment horizontal="left" vertical="center"/>
    </xf>
    <xf numFmtId="0" fontId="14" fillId="26" borderId="0" xfId="0" applyFont="1" applyFill="1" applyBorder="1"/>
    <xf numFmtId="0" fontId="14" fillId="26" borderId="0" xfId="0" applyFont="1" applyFill="1"/>
    <xf numFmtId="0" fontId="39" fillId="26" borderId="0" xfId="0" applyFont="1" applyFill="1"/>
    <xf numFmtId="0" fontId="44" fillId="26" borderId="0" xfId="0" applyFont="1" applyFill="1" applyBorder="1"/>
    <xf numFmtId="0" fontId="39" fillId="26" borderId="0" xfId="0" applyFont="1" applyFill="1" applyBorder="1"/>
    <xf numFmtId="0" fontId="78" fillId="26" borderId="0" xfId="0" applyFont="1" applyFill="1" applyProtection="1">
      <protection locked="0"/>
    </xf>
    <xf numFmtId="0" fontId="85" fillId="26" borderId="0" xfId="0" applyFont="1" applyFill="1"/>
    <xf numFmtId="0" fontId="78" fillId="26" borderId="0" xfId="0" applyFont="1" applyFill="1"/>
    <xf numFmtId="0" fontId="15" fillId="25" borderId="76" xfId="0" applyFont="1" applyFill="1" applyBorder="1" applyAlignment="1">
      <alignment horizontal="center" vertical="center"/>
    </xf>
    <xf numFmtId="49" fontId="5" fillId="0" borderId="94" xfId="0" applyNumberFormat="1" applyFont="1" applyFill="1" applyBorder="1" applyProtection="1">
      <protection locked="0"/>
    </xf>
    <xf numFmtId="49" fontId="5" fillId="0" borderId="95" xfId="0" applyNumberFormat="1" applyFont="1" applyFill="1" applyBorder="1" applyProtection="1">
      <protection locked="0"/>
    </xf>
    <xf numFmtId="49" fontId="5" fillId="0" borderId="96" xfId="0" applyNumberFormat="1" applyFont="1" applyFill="1" applyBorder="1" applyProtection="1">
      <protection locked="0"/>
    </xf>
    <xf numFmtId="0" fontId="5" fillId="15" borderId="0" xfId="0" applyFont="1" applyFill="1"/>
    <xf numFmtId="0" fontId="5" fillId="0" borderId="12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87" fillId="25" borderId="55" xfId="0" applyFont="1" applyFill="1" applyBorder="1"/>
    <xf numFmtId="0" fontId="20" fillId="26" borderId="6" xfId="0" applyFont="1" applyFill="1" applyBorder="1" applyAlignment="1" applyProtection="1">
      <alignment horizontal="center"/>
      <protection locked="0"/>
    </xf>
    <xf numFmtId="0" fontId="20" fillId="26" borderId="27" xfId="0" applyFont="1" applyFill="1" applyBorder="1" applyAlignment="1" applyProtection="1">
      <alignment horizontal="center"/>
      <protection locked="0"/>
    </xf>
    <xf numFmtId="0" fontId="20" fillId="26" borderId="7" xfId="0" applyFont="1" applyFill="1" applyBorder="1" applyAlignment="1" applyProtection="1">
      <alignment horizontal="center"/>
      <protection locked="0"/>
    </xf>
    <xf numFmtId="0" fontId="87" fillId="25" borderId="55" xfId="0" applyFont="1" applyFill="1" applyBorder="1" applyProtection="1">
      <protection locked="0"/>
    </xf>
    <xf numFmtId="0" fontId="21" fillId="26" borderId="35" xfId="0" applyFont="1" applyFill="1" applyBorder="1" applyAlignment="1" applyProtection="1">
      <alignment horizontal="center"/>
      <protection locked="0"/>
    </xf>
    <xf numFmtId="0" fontId="21" fillId="26" borderId="57" xfId="0" applyFont="1" applyFill="1" applyBorder="1" applyAlignment="1" applyProtection="1">
      <alignment horizontal="center"/>
      <protection locked="0"/>
    </xf>
    <xf numFmtId="0" fontId="21" fillId="26" borderId="36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>
      <alignment horizontal="center"/>
    </xf>
    <xf numFmtId="0" fontId="5" fillId="10" borderId="11" xfId="0" applyFont="1" applyFill="1" applyBorder="1" applyAlignment="1">
      <alignment horizontal="center"/>
    </xf>
    <xf numFmtId="0" fontId="5" fillId="10" borderId="16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49" fontId="5" fillId="10" borderId="29" xfId="0" applyNumberFormat="1" applyFont="1" applyFill="1" applyBorder="1" applyAlignment="1">
      <alignment horizontal="center"/>
    </xf>
    <xf numFmtId="49" fontId="5" fillId="10" borderId="30" xfId="0" applyNumberFormat="1" applyFont="1" applyFill="1" applyBorder="1" applyAlignment="1">
      <alignment horizontal="center"/>
    </xf>
    <xf numFmtId="49" fontId="5" fillId="10" borderId="12" xfId="0" applyNumberFormat="1" applyFont="1" applyFill="1" applyBorder="1" applyAlignment="1">
      <alignment horizontal="center"/>
    </xf>
    <xf numFmtId="166" fontId="5" fillId="10" borderId="13" xfId="0" applyNumberFormat="1" applyFont="1" applyFill="1" applyBorder="1" applyAlignment="1">
      <alignment horizontal="center"/>
    </xf>
    <xf numFmtId="49" fontId="5" fillId="10" borderId="17" xfId="0" applyNumberFormat="1" applyFont="1" applyFill="1" applyBorder="1" applyAlignment="1">
      <alignment horizontal="center"/>
    </xf>
    <xf numFmtId="166" fontId="5" fillId="10" borderId="18" xfId="0" applyNumberFormat="1" applyFont="1" applyFill="1" applyBorder="1" applyAlignment="1">
      <alignment horizontal="center"/>
    </xf>
    <xf numFmtId="0" fontId="5" fillId="10" borderId="22" xfId="0" applyFont="1" applyFill="1" applyBorder="1" applyAlignment="1">
      <alignment horizontal="center"/>
    </xf>
    <xf numFmtId="0" fontId="5" fillId="26" borderId="19" xfId="0" applyFont="1" applyFill="1" applyBorder="1" applyAlignment="1">
      <alignment horizontal="center"/>
    </xf>
    <xf numFmtId="0" fontId="5" fillId="26" borderId="25" xfId="0" applyFont="1" applyFill="1" applyBorder="1" applyAlignment="1">
      <alignment horizontal="center"/>
    </xf>
    <xf numFmtId="0" fontId="5" fillId="26" borderId="17" xfId="0" applyFont="1" applyFill="1" applyBorder="1" applyAlignment="1">
      <alignment horizontal="center"/>
    </xf>
    <xf numFmtId="0" fontId="5" fillId="26" borderId="23" xfId="0" applyFont="1" applyFill="1" applyBorder="1" applyAlignment="1">
      <alignment horizontal="center"/>
    </xf>
    <xf numFmtId="0" fontId="5" fillId="26" borderId="12" xfId="0" applyFont="1" applyFill="1" applyBorder="1" applyAlignment="1">
      <alignment horizontal="center"/>
    </xf>
    <xf numFmtId="0" fontId="20" fillId="26" borderId="2" xfId="0" applyFont="1" applyFill="1" applyBorder="1" applyAlignment="1" applyProtection="1">
      <alignment horizontal="center"/>
      <protection locked="0"/>
    </xf>
    <xf numFmtId="0" fontId="20" fillId="26" borderId="9" xfId="0" applyFont="1" applyFill="1" applyBorder="1" applyAlignment="1" applyProtection="1">
      <alignment horizontal="center"/>
      <protection locked="0"/>
    </xf>
    <xf numFmtId="0" fontId="20" fillId="26" borderId="4" xfId="0" applyFont="1" applyFill="1" applyBorder="1" applyAlignment="1" applyProtection="1">
      <alignment horizontal="center"/>
      <protection locked="0"/>
    </xf>
    <xf numFmtId="0" fontId="5" fillId="26" borderId="0" xfId="0" applyFont="1" applyFill="1" applyBorder="1" applyAlignment="1">
      <alignment horizontal="center"/>
    </xf>
    <xf numFmtId="0" fontId="88" fillId="27" borderId="42" xfId="0" applyFont="1" applyFill="1" applyBorder="1" applyAlignment="1" applyProtection="1">
      <alignment horizontal="center"/>
      <protection locked="0"/>
    </xf>
    <xf numFmtId="0" fontId="32" fillId="28" borderId="42" xfId="0" applyFont="1" applyFill="1" applyBorder="1" applyAlignment="1" applyProtection="1">
      <alignment horizontal="center"/>
      <protection locked="0"/>
    </xf>
    <xf numFmtId="0" fontId="32" fillId="29" borderId="42" xfId="0" applyFont="1" applyFill="1" applyBorder="1" applyAlignment="1" applyProtection="1">
      <alignment horizontal="center"/>
      <protection locked="0"/>
    </xf>
    <xf numFmtId="0" fontId="5" fillId="18" borderId="97" xfId="0" applyFont="1" applyFill="1" applyBorder="1" applyAlignment="1">
      <alignment horizontal="center"/>
    </xf>
    <xf numFmtId="0" fontId="5" fillId="0" borderId="98" xfId="0" applyFont="1" applyFill="1" applyBorder="1" applyAlignment="1">
      <alignment horizontal="center"/>
    </xf>
    <xf numFmtId="0" fontId="38" fillId="26" borderId="0" xfId="0" applyFont="1" applyFill="1" applyBorder="1" applyAlignment="1">
      <alignment horizontal="center"/>
    </xf>
    <xf numFmtId="16" fontId="6" fillId="0" borderId="84" xfId="0" applyNumberFormat="1" applyFont="1" applyFill="1" applyBorder="1" applyAlignment="1">
      <alignment horizontal="center" vertical="center"/>
    </xf>
    <xf numFmtId="0" fontId="6" fillId="26" borderId="0" xfId="0" applyFont="1" applyFill="1" applyBorder="1" applyAlignment="1">
      <alignment horizontal="center" vertical="center"/>
    </xf>
    <xf numFmtId="16" fontId="6" fillId="0" borderId="87" xfId="0" applyNumberFormat="1" applyFont="1" applyFill="1" applyBorder="1" applyAlignment="1">
      <alignment horizontal="center" vertical="center"/>
    </xf>
    <xf numFmtId="16" fontId="6" fillId="0" borderId="76" xfId="0" applyNumberFormat="1" applyFont="1" applyFill="1" applyBorder="1" applyAlignment="1">
      <alignment horizontal="center" vertical="center"/>
    </xf>
    <xf numFmtId="16" fontId="6" fillId="18" borderId="76" xfId="0" applyNumberFormat="1" applyFont="1" applyFill="1" applyBorder="1" applyAlignment="1">
      <alignment horizontal="center" vertical="center"/>
    </xf>
    <xf numFmtId="165" fontId="5" fillId="11" borderId="30" xfId="0" applyNumberFormat="1" applyFont="1" applyFill="1" applyBorder="1" applyAlignment="1">
      <alignment horizontal="left"/>
    </xf>
    <xf numFmtId="165" fontId="5" fillId="11" borderId="32" xfId="0" applyNumberFormat="1" applyFont="1" applyFill="1" applyBorder="1" applyAlignment="1">
      <alignment horizontal="left"/>
    </xf>
    <xf numFmtId="0" fontId="5" fillId="11" borderId="25" xfId="0" applyFont="1" applyFill="1" applyBorder="1"/>
    <xf numFmtId="47" fontId="5" fillId="12" borderId="30" xfId="0" applyNumberFormat="1" applyFont="1" applyFill="1" applyBorder="1" applyAlignment="1">
      <alignment horizontal="left"/>
    </xf>
    <xf numFmtId="47" fontId="5" fillId="12" borderId="32" xfId="0" applyNumberFormat="1" applyFont="1" applyFill="1" applyBorder="1" applyAlignment="1">
      <alignment horizontal="left"/>
    </xf>
    <xf numFmtId="166" fontId="5" fillId="12" borderId="25" xfId="0" applyNumberFormat="1" applyFont="1" applyFill="1" applyBorder="1" applyAlignment="1">
      <alignment horizontal="center"/>
    </xf>
    <xf numFmtId="0" fontId="5" fillId="12" borderId="31" xfId="0" applyFont="1" applyFill="1" applyBorder="1" applyAlignment="1">
      <alignment horizontal="center"/>
    </xf>
    <xf numFmtId="20" fontId="5" fillId="11" borderId="25" xfId="0" applyNumberFormat="1" applyFont="1" applyFill="1" applyBorder="1" applyAlignment="1">
      <alignment horizontal="center"/>
    </xf>
    <xf numFmtId="165" fontId="5" fillId="11" borderId="25" xfId="0" applyNumberFormat="1" applyFont="1" applyFill="1" applyBorder="1" applyAlignment="1">
      <alignment horizontal="center"/>
    </xf>
    <xf numFmtId="0" fontId="5" fillId="11" borderId="24" xfId="0" applyFont="1" applyFill="1" applyBorder="1" applyAlignment="1">
      <alignment horizontal="center"/>
    </xf>
    <xf numFmtId="0" fontId="7" fillId="11" borderId="5" xfId="0" applyFont="1" applyFill="1" applyBorder="1"/>
    <xf numFmtId="0" fontId="7" fillId="11" borderId="9" xfId="0" applyFont="1" applyFill="1" applyBorder="1"/>
    <xf numFmtId="0" fontId="7" fillId="11" borderId="9" xfId="0" applyFont="1" applyFill="1" applyBorder="1" applyAlignment="1">
      <alignment horizontal="center"/>
    </xf>
    <xf numFmtId="0" fontId="7" fillId="11" borderId="4" xfId="0" applyFont="1" applyFill="1" applyBorder="1"/>
    <xf numFmtId="49" fontId="5" fillId="10" borderId="23" xfId="0" applyNumberFormat="1" applyFont="1" applyFill="1" applyBorder="1" applyAlignment="1">
      <alignment horizontal="center"/>
    </xf>
    <xf numFmtId="49" fontId="5" fillId="10" borderId="25" xfId="0" applyNumberFormat="1" applyFont="1" applyFill="1" applyBorder="1" applyAlignment="1">
      <alignment horizontal="center"/>
    </xf>
    <xf numFmtId="166" fontId="5" fillId="10" borderId="24" xfId="0" applyNumberFormat="1" applyFont="1" applyFill="1" applyBorder="1" applyAlignment="1">
      <alignment horizontal="center"/>
    </xf>
    <xf numFmtId="49" fontId="5" fillId="10" borderId="32" xfId="0" applyNumberFormat="1" applyFont="1" applyFill="1" applyBorder="1" applyAlignment="1">
      <alignment horizontal="center"/>
    </xf>
    <xf numFmtId="49" fontId="5" fillId="10" borderId="31" xfId="0" applyNumberFormat="1" applyFont="1" applyFill="1" applyBorder="1" applyAlignment="1">
      <alignment horizontal="center"/>
    </xf>
    <xf numFmtId="0" fontId="5" fillId="26" borderId="28" xfId="0" applyFont="1" applyFill="1" applyBorder="1" applyAlignment="1">
      <alignment horizontal="center"/>
    </xf>
    <xf numFmtId="0" fontId="5" fillId="26" borderId="58" xfId="0" applyFont="1" applyFill="1" applyBorder="1" applyAlignment="1">
      <alignment horizontal="center"/>
    </xf>
    <xf numFmtId="0" fontId="5" fillId="26" borderId="31" xfId="0" applyFont="1" applyFill="1" applyBorder="1" applyAlignment="1">
      <alignment horizontal="center"/>
    </xf>
    <xf numFmtId="0" fontId="21" fillId="26" borderId="15" xfId="0" applyFont="1" applyFill="1" applyBorder="1" applyAlignment="1" applyProtection="1">
      <alignment horizontal="center" vertical="center"/>
      <protection locked="0"/>
    </xf>
    <xf numFmtId="0" fontId="21" fillId="26" borderId="20" xfId="0" applyFont="1" applyFill="1" applyBorder="1" applyAlignment="1" applyProtection="1">
      <alignment horizontal="center" vertical="center"/>
      <protection locked="0"/>
    </xf>
    <xf numFmtId="0" fontId="21" fillId="26" borderId="26" xfId="0" applyFont="1" applyFill="1" applyBorder="1" applyAlignment="1" applyProtection="1">
      <alignment horizontal="center" vertical="center"/>
      <protection locked="0"/>
    </xf>
    <xf numFmtId="49" fontId="5" fillId="0" borderId="13" xfId="0" quotePrefix="1" applyNumberFormat="1" applyFont="1" applyFill="1" applyBorder="1" applyAlignment="1">
      <alignment horizontal="center"/>
    </xf>
    <xf numFmtId="49" fontId="5" fillId="0" borderId="18" xfId="0" applyNumberFormat="1" applyFont="1" applyFill="1" applyBorder="1" applyAlignment="1">
      <alignment horizontal="center"/>
    </xf>
    <xf numFmtId="49" fontId="5" fillId="0" borderId="24" xfId="0" applyNumberFormat="1" applyFont="1" applyFill="1" applyBorder="1" applyAlignment="1">
      <alignment horizontal="center"/>
    </xf>
    <xf numFmtId="49" fontId="5" fillId="0" borderId="13" xfId="0" applyNumberFormat="1" applyFont="1" applyFill="1" applyBorder="1" applyAlignment="1">
      <alignment horizontal="center"/>
    </xf>
    <xf numFmtId="0" fontId="7" fillId="26" borderId="8" xfId="0" applyFont="1" applyFill="1" applyBorder="1" applyAlignment="1">
      <alignment horizontal="center"/>
    </xf>
    <xf numFmtId="0" fontId="5" fillId="0" borderId="62" xfId="0" applyFont="1" applyFill="1" applyBorder="1" applyAlignment="1">
      <alignment horizontal="center"/>
    </xf>
    <xf numFmtId="0" fontId="5" fillId="0" borderId="63" xfId="0" applyFont="1" applyFill="1" applyBorder="1" applyAlignment="1">
      <alignment horizontal="center"/>
    </xf>
    <xf numFmtId="0" fontId="5" fillId="0" borderId="64" xfId="0" applyFont="1" applyFill="1" applyBorder="1" applyAlignment="1">
      <alignment horizontal="center"/>
    </xf>
    <xf numFmtId="0" fontId="6" fillId="25" borderId="76" xfId="0" applyFont="1" applyFill="1" applyBorder="1" applyAlignment="1">
      <alignment horizontal="center" vertical="center"/>
    </xf>
    <xf numFmtId="0" fontId="0" fillId="18" borderId="2" xfId="0" applyFill="1" applyBorder="1"/>
    <xf numFmtId="0" fontId="0" fillId="18" borderId="9" xfId="0" applyFill="1" applyBorder="1"/>
    <xf numFmtId="0" fontId="0" fillId="18" borderId="4" xfId="0" applyFill="1" applyBorder="1"/>
    <xf numFmtId="0" fontId="0" fillId="16" borderId="0" xfId="0" applyFill="1"/>
    <xf numFmtId="0" fontId="72" fillId="16" borderId="0" xfId="0" applyFont="1" applyFill="1" applyAlignment="1">
      <alignment horizontal="center"/>
    </xf>
    <xf numFmtId="49" fontId="5" fillId="18" borderId="11" xfId="0" applyNumberFormat="1" applyFont="1" applyFill="1" applyBorder="1" applyProtection="1">
      <protection locked="0"/>
    </xf>
    <xf numFmtId="49" fontId="5" fillId="18" borderId="16" xfId="0" applyNumberFormat="1" applyFont="1" applyFill="1" applyBorder="1" applyProtection="1">
      <protection locked="0"/>
    </xf>
    <xf numFmtId="49" fontId="5" fillId="18" borderId="22" xfId="0" applyNumberFormat="1" applyFont="1" applyFill="1" applyBorder="1" applyProtection="1">
      <protection locked="0"/>
    </xf>
    <xf numFmtId="0" fontId="90" fillId="16" borderId="0" xfId="0" applyFont="1" applyFill="1" applyAlignment="1">
      <alignment vertical="center"/>
    </xf>
    <xf numFmtId="0" fontId="0" fillId="15" borderId="0" xfId="0" applyFill="1"/>
    <xf numFmtId="0" fontId="72" fillId="16" borderId="0" xfId="0" applyFont="1" applyFill="1" applyBorder="1"/>
    <xf numFmtId="0" fontId="0" fillId="16" borderId="0" xfId="0" applyFill="1" applyBorder="1"/>
    <xf numFmtId="49" fontId="5" fillId="16" borderId="0" xfId="0" applyNumberFormat="1" applyFont="1" applyFill="1" applyBorder="1" applyProtection="1">
      <protection locked="0"/>
    </xf>
    <xf numFmtId="0" fontId="0" fillId="19" borderId="12" xfId="0" applyFill="1" applyBorder="1"/>
    <xf numFmtId="0" fontId="0" fillId="19" borderId="14" xfId="0" applyFill="1" applyBorder="1"/>
    <xf numFmtId="0" fontId="0" fillId="19" borderId="13" xfId="0" applyFill="1" applyBorder="1"/>
    <xf numFmtId="0" fontId="0" fillId="19" borderId="17" xfId="0" applyFill="1" applyBorder="1"/>
    <xf numFmtId="0" fontId="0" fillId="19" borderId="19" xfId="0" applyFill="1" applyBorder="1"/>
    <xf numFmtId="0" fontId="0" fillId="19" borderId="18" xfId="0" applyFill="1" applyBorder="1"/>
    <xf numFmtId="0" fontId="0" fillId="19" borderId="23" xfId="0" applyFill="1" applyBorder="1"/>
    <xf numFmtId="0" fontId="0" fillId="19" borderId="25" xfId="0" applyFill="1" applyBorder="1"/>
    <xf numFmtId="0" fontId="0" fillId="19" borderId="24" xfId="0" applyFill="1" applyBorder="1"/>
    <xf numFmtId="0" fontId="74" fillId="26" borderId="0" xfId="0" applyFont="1" applyFill="1" applyBorder="1" applyAlignment="1">
      <alignment horizontal="right" vertical="center"/>
    </xf>
    <xf numFmtId="16" fontId="6" fillId="26" borderId="0" xfId="0" applyNumberFormat="1" applyFont="1" applyFill="1" applyBorder="1" applyAlignment="1">
      <alignment horizontal="right" vertical="center"/>
    </xf>
    <xf numFmtId="0" fontId="5" fillId="26" borderId="19" xfId="0" applyFont="1" applyFill="1" applyBorder="1" applyAlignment="1">
      <alignment horizontal="center"/>
    </xf>
    <xf numFmtId="0" fontId="5" fillId="26" borderId="25" xfId="0" applyFont="1" applyFill="1" applyBorder="1" applyAlignment="1">
      <alignment horizontal="center"/>
    </xf>
    <xf numFmtId="0" fontId="5" fillId="26" borderId="18" xfId="0" applyFont="1" applyFill="1" applyBorder="1" applyAlignment="1">
      <alignment horizontal="center"/>
    </xf>
    <xf numFmtId="0" fontId="5" fillId="26" borderId="24" xfId="0" applyFont="1" applyFill="1" applyBorder="1" applyAlignment="1">
      <alignment horizontal="center"/>
    </xf>
    <xf numFmtId="0" fontId="5" fillId="26" borderId="14" xfId="0" applyFont="1" applyFill="1" applyBorder="1" applyAlignment="1">
      <alignment horizontal="center"/>
    </xf>
    <xf numFmtId="0" fontId="5" fillId="26" borderId="13" xfId="0" applyFont="1" applyFill="1" applyBorder="1" applyAlignment="1">
      <alignment horizontal="center"/>
    </xf>
    <xf numFmtId="0" fontId="21" fillId="30" borderId="19" xfId="0" applyFont="1" applyFill="1" applyBorder="1" applyAlignment="1" applyProtection="1">
      <alignment horizontal="center"/>
      <protection locked="0"/>
    </xf>
    <xf numFmtId="0" fontId="21" fillId="30" borderId="58" xfId="0" applyFont="1" applyFill="1" applyBorder="1" applyAlignment="1" applyProtection="1">
      <alignment horizontal="center"/>
      <protection locked="0"/>
    </xf>
    <xf numFmtId="0" fontId="21" fillId="29" borderId="19" xfId="0" applyFont="1" applyFill="1" applyBorder="1" applyAlignment="1" applyProtection="1">
      <alignment horizontal="center"/>
      <protection locked="0"/>
    </xf>
    <xf numFmtId="0" fontId="21" fillId="29" borderId="58" xfId="0" applyFont="1" applyFill="1" applyBorder="1" applyAlignment="1" applyProtection="1">
      <alignment horizontal="center"/>
      <protection locked="0"/>
    </xf>
    <xf numFmtId="0" fontId="5" fillId="31" borderId="19" xfId="0" applyFont="1" applyFill="1" applyBorder="1" applyAlignment="1">
      <alignment horizontal="center"/>
    </xf>
    <xf numFmtId="0" fontId="5" fillId="31" borderId="18" xfId="0" applyFont="1" applyFill="1" applyBorder="1" applyAlignment="1">
      <alignment horizontal="center"/>
    </xf>
    <xf numFmtId="0" fontId="5" fillId="30" borderId="19" xfId="0" applyFont="1" applyFill="1" applyBorder="1" applyAlignment="1">
      <alignment horizontal="center"/>
    </xf>
    <xf numFmtId="0" fontId="5" fillId="30" borderId="58" xfId="0" applyFont="1" applyFill="1" applyBorder="1" applyAlignment="1">
      <alignment horizontal="center"/>
    </xf>
    <xf numFmtId="0" fontId="5" fillId="29" borderId="19" xfId="0" applyFont="1" applyFill="1" applyBorder="1" applyAlignment="1">
      <alignment horizontal="center"/>
    </xf>
    <xf numFmtId="0" fontId="5" fillId="29" borderId="58" xfId="0" applyFont="1" applyFill="1" applyBorder="1" applyAlignment="1">
      <alignment horizontal="center"/>
    </xf>
    <xf numFmtId="0" fontId="5" fillId="29" borderId="6" xfId="0" applyFont="1" applyFill="1" applyBorder="1" applyAlignment="1">
      <alignment horizontal="center"/>
    </xf>
    <xf numFmtId="0" fontId="5" fillId="29" borderId="27" xfId="0" applyFont="1" applyFill="1" applyBorder="1" applyAlignment="1">
      <alignment horizontal="center"/>
    </xf>
    <xf numFmtId="0" fontId="5" fillId="29" borderId="7" xfId="0" applyFont="1" applyFill="1" applyBorder="1" applyAlignment="1">
      <alignment horizontal="center"/>
    </xf>
    <xf numFmtId="0" fontId="5" fillId="30" borderId="27" xfId="0" applyFont="1" applyFill="1" applyBorder="1" applyAlignment="1">
      <alignment horizontal="center"/>
    </xf>
    <xf numFmtId="0" fontId="5" fillId="30" borderId="7" xfId="0" applyFont="1" applyFill="1" applyBorder="1" applyAlignment="1">
      <alignment horizontal="center"/>
    </xf>
    <xf numFmtId="0" fontId="5" fillId="30" borderId="6" xfId="0" applyFont="1" applyFill="1" applyBorder="1" applyAlignment="1">
      <alignment horizontal="center"/>
    </xf>
    <xf numFmtId="0" fontId="0" fillId="31" borderId="19" xfId="0" applyFill="1" applyBorder="1"/>
    <xf numFmtId="0" fontId="0" fillId="31" borderId="18" xfId="0" applyFill="1" applyBorder="1"/>
    <xf numFmtId="0" fontId="84" fillId="26" borderId="0" xfId="0" applyFont="1" applyFill="1" applyBorder="1" applyAlignment="1">
      <alignment horizontal="center" vertical="center"/>
    </xf>
    <xf numFmtId="22" fontId="76" fillId="26" borderId="0" xfId="0" applyNumberFormat="1" applyFont="1" applyFill="1" applyAlignment="1">
      <alignment horizontal="center"/>
    </xf>
    <xf numFmtId="0" fontId="76" fillId="26" borderId="0" xfId="0" applyFont="1" applyFill="1" applyAlignment="1">
      <alignment horizontal="center"/>
    </xf>
    <xf numFmtId="9" fontId="91" fillId="26" borderId="99" xfId="3" applyFont="1" applyFill="1" applyBorder="1" applyAlignment="1">
      <alignment horizontal="center"/>
    </xf>
    <xf numFmtId="9" fontId="91" fillId="26" borderId="100" xfId="3" applyFont="1" applyFill="1" applyBorder="1" applyAlignment="1">
      <alignment horizontal="center"/>
    </xf>
    <xf numFmtId="9" fontId="91" fillId="26" borderId="101" xfId="3" applyFont="1" applyFill="1" applyBorder="1" applyAlignment="1">
      <alignment horizontal="center"/>
    </xf>
    <xf numFmtId="9" fontId="62" fillId="26" borderId="102" xfId="0" applyNumberFormat="1" applyFont="1" applyFill="1" applyBorder="1" applyAlignment="1">
      <alignment horizontal="center" vertical="center"/>
    </xf>
    <xf numFmtId="0" fontId="61" fillId="26" borderId="0" xfId="0" applyFont="1" applyFill="1" applyBorder="1" applyAlignment="1">
      <alignment horizontal="center" vertical="center"/>
    </xf>
    <xf numFmtId="170" fontId="5" fillId="0" borderId="0" xfId="0" applyNumberFormat="1" applyFont="1" applyFill="1" applyBorder="1" applyAlignment="1">
      <alignment horizontal="left"/>
    </xf>
    <xf numFmtId="0" fontId="63" fillId="24" borderId="85" xfId="0" applyFont="1" applyFill="1" applyBorder="1" applyAlignment="1">
      <alignment horizontal="center"/>
    </xf>
    <xf numFmtId="0" fontId="63" fillId="24" borderId="86" xfId="0" applyFont="1" applyFill="1" applyBorder="1" applyAlignment="1">
      <alignment horizontal="center"/>
    </xf>
    <xf numFmtId="0" fontId="63" fillId="24" borderId="87" xfId="0" applyFont="1" applyFill="1" applyBorder="1" applyAlignment="1">
      <alignment horizontal="center"/>
    </xf>
    <xf numFmtId="0" fontId="5" fillId="18" borderId="88" xfId="0" applyFont="1" applyFill="1" applyBorder="1" applyAlignment="1">
      <alignment horizontal="center" vertical="center" textRotation="90"/>
    </xf>
    <xf numFmtId="0" fontId="5" fillId="18" borderId="89" xfId="0" applyFont="1" applyFill="1" applyBorder="1" applyAlignment="1">
      <alignment horizontal="center" vertical="center" textRotation="90"/>
    </xf>
    <xf numFmtId="0" fontId="5" fillId="18" borderId="90" xfId="0" applyFont="1" applyFill="1" applyBorder="1" applyAlignment="1">
      <alignment horizontal="center" vertical="center" textRotation="90"/>
    </xf>
    <xf numFmtId="0" fontId="5" fillId="0" borderId="88" xfId="0" applyFont="1" applyFill="1" applyBorder="1" applyAlignment="1">
      <alignment horizontal="center" vertical="center" textRotation="90"/>
    </xf>
    <xf numFmtId="0" fontId="5" fillId="0" borderId="89" xfId="0" applyFont="1" applyFill="1" applyBorder="1" applyAlignment="1">
      <alignment horizontal="center" vertical="center" textRotation="90"/>
    </xf>
    <xf numFmtId="0" fontId="5" fillId="0" borderId="90" xfId="0" applyFont="1" applyFill="1" applyBorder="1" applyAlignment="1">
      <alignment horizontal="center" vertical="center" textRotation="90"/>
    </xf>
    <xf numFmtId="0" fontId="17" fillId="0" borderId="78" xfId="0" applyFont="1" applyFill="1" applyBorder="1" applyAlignment="1">
      <alignment horizontal="center"/>
    </xf>
    <xf numFmtId="0" fontId="17" fillId="0" borderId="79" xfId="0" applyFont="1" applyFill="1" applyBorder="1" applyAlignment="1">
      <alignment horizontal="center"/>
    </xf>
    <xf numFmtId="0" fontId="5" fillId="26" borderId="0" xfId="0" applyFont="1" applyFill="1" applyBorder="1" applyAlignment="1">
      <alignment horizontal="center"/>
    </xf>
    <xf numFmtId="0" fontId="63" fillId="24" borderId="76" xfId="0" applyFont="1" applyFill="1" applyBorder="1" applyAlignment="1">
      <alignment horizontal="center"/>
    </xf>
    <xf numFmtId="0" fontId="5" fillId="16" borderId="0" xfId="0" applyFont="1" applyFill="1" applyBorder="1" applyAlignment="1">
      <alignment horizontal="center" vertical="center"/>
    </xf>
    <xf numFmtId="0" fontId="5" fillId="16" borderId="0" xfId="0" applyFont="1" applyFill="1" applyBorder="1" applyAlignment="1">
      <alignment horizontal="center"/>
    </xf>
    <xf numFmtId="0" fontId="5" fillId="0" borderId="85" xfId="0" applyFont="1" applyFill="1" applyBorder="1" applyAlignment="1">
      <alignment horizontal="left" vertical="center"/>
    </xf>
    <xf numFmtId="0" fontId="5" fillId="0" borderId="86" xfId="0" applyFont="1" applyFill="1" applyBorder="1" applyAlignment="1">
      <alignment horizontal="left" vertical="center"/>
    </xf>
    <xf numFmtId="166" fontId="5" fillId="0" borderId="86" xfId="0" applyNumberFormat="1" applyFont="1" applyFill="1" applyBorder="1" applyAlignment="1">
      <alignment horizontal="center" vertical="center"/>
    </xf>
    <xf numFmtId="166" fontId="5" fillId="0" borderId="87" xfId="0" applyNumberFormat="1" applyFont="1" applyFill="1" applyBorder="1" applyAlignment="1">
      <alignment horizontal="center" vertical="center"/>
    </xf>
    <xf numFmtId="0" fontId="35" fillId="26" borderId="0" xfId="0" applyFont="1" applyFill="1" applyBorder="1" applyAlignment="1">
      <alignment horizontal="center" vertical="center"/>
    </xf>
    <xf numFmtId="168" fontId="83" fillId="26" borderId="0" xfId="0" applyNumberFormat="1" applyFont="1" applyFill="1" applyBorder="1" applyAlignment="1" applyProtection="1">
      <alignment horizontal="left" vertical="top" wrapText="1"/>
      <protection locked="0"/>
    </xf>
    <xf numFmtId="0" fontId="68" fillId="26" borderId="0" xfId="0" applyFont="1" applyFill="1" applyBorder="1" applyAlignment="1">
      <alignment horizontal="center"/>
    </xf>
    <xf numFmtId="0" fontId="15" fillId="25" borderId="76" xfId="0" applyFont="1" applyFill="1" applyBorder="1" applyAlignment="1">
      <alignment horizontal="center" vertical="center"/>
    </xf>
    <xf numFmtId="0" fontId="5" fillId="0" borderId="76" xfId="0" applyFont="1" applyFill="1" applyBorder="1" applyAlignment="1">
      <alignment horizontal="left"/>
    </xf>
    <xf numFmtId="167" fontId="5" fillId="0" borderId="76" xfId="0" applyNumberFormat="1" applyFont="1" applyFill="1" applyBorder="1" applyAlignment="1">
      <alignment horizontal="center"/>
    </xf>
    <xf numFmtId="0" fontId="5" fillId="0" borderId="76" xfId="0" applyNumberFormat="1" applyFont="1" applyFill="1" applyBorder="1" applyAlignment="1">
      <alignment horizontal="center"/>
    </xf>
    <xf numFmtId="166" fontId="5" fillId="0" borderId="76" xfId="0" applyNumberFormat="1" applyFont="1" applyFill="1" applyBorder="1" applyAlignment="1">
      <alignment horizontal="center"/>
    </xf>
    <xf numFmtId="0" fontId="5" fillId="0" borderId="76" xfId="0" applyFont="1" applyFill="1" applyBorder="1" applyAlignment="1">
      <alignment horizontal="center"/>
    </xf>
    <xf numFmtId="0" fontId="28" fillId="26" borderId="0" xfId="0" applyFont="1" applyFill="1" applyBorder="1" applyAlignment="1">
      <alignment horizontal="center"/>
    </xf>
    <xf numFmtId="0" fontId="53" fillId="26" borderId="0" xfId="0" applyFont="1" applyFill="1" applyBorder="1" applyAlignment="1">
      <alignment horizontal="center"/>
    </xf>
    <xf numFmtId="0" fontId="5" fillId="26" borderId="19" xfId="0" applyFont="1" applyFill="1" applyBorder="1" applyAlignment="1">
      <alignment horizontal="center"/>
    </xf>
    <xf numFmtId="0" fontId="5" fillId="26" borderId="25" xfId="0" applyFont="1" applyFill="1" applyBorder="1" applyAlignment="1">
      <alignment horizontal="center"/>
    </xf>
    <xf numFmtId="0" fontId="5" fillId="31" borderId="19" xfId="0" applyFont="1" applyFill="1" applyBorder="1" applyAlignment="1">
      <alignment horizontal="center"/>
    </xf>
    <xf numFmtId="0" fontId="5" fillId="26" borderId="42" xfId="0" applyFont="1" applyFill="1" applyBorder="1" applyAlignment="1">
      <alignment horizontal="center"/>
    </xf>
    <xf numFmtId="0" fontId="5" fillId="26" borderId="43" xfId="0" applyFont="1" applyFill="1" applyBorder="1" applyAlignment="1">
      <alignment horizontal="center"/>
    </xf>
    <xf numFmtId="0" fontId="5" fillId="26" borderId="18" xfId="0" applyFont="1" applyFill="1" applyBorder="1" applyAlignment="1">
      <alignment horizontal="center"/>
    </xf>
    <xf numFmtId="0" fontId="5" fillId="26" borderId="24" xfId="0" applyFont="1" applyFill="1" applyBorder="1" applyAlignment="1">
      <alignment horizontal="center"/>
    </xf>
    <xf numFmtId="0" fontId="5" fillId="26" borderId="14" xfId="0" applyFont="1" applyFill="1" applyBorder="1" applyAlignment="1">
      <alignment horizontal="center"/>
    </xf>
    <xf numFmtId="0" fontId="5" fillId="26" borderId="41" xfId="0" applyFont="1" applyFill="1" applyBorder="1" applyAlignment="1">
      <alignment horizontal="center"/>
    </xf>
    <xf numFmtId="0" fontId="5" fillId="26" borderId="17" xfId="0" applyFont="1" applyFill="1" applyBorder="1" applyAlignment="1">
      <alignment horizontal="center"/>
    </xf>
    <xf numFmtId="0" fontId="5" fillId="26" borderId="12" xfId="0" applyFont="1" applyFill="1" applyBorder="1" applyAlignment="1">
      <alignment horizontal="center"/>
    </xf>
    <xf numFmtId="0" fontId="5" fillId="26" borderId="11" xfId="0" applyFont="1" applyFill="1" applyBorder="1" applyAlignment="1">
      <alignment horizontal="center"/>
    </xf>
    <xf numFmtId="0" fontId="5" fillId="26" borderId="16" xfId="0" applyFont="1" applyFill="1" applyBorder="1" applyAlignment="1">
      <alignment horizontal="center"/>
    </xf>
    <xf numFmtId="0" fontId="6" fillId="25" borderId="76" xfId="0" applyFont="1" applyFill="1" applyBorder="1" applyAlignment="1">
      <alignment horizontal="center" vertical="center"/>
    </xf>
    <xf numFmtId="0" fontId="21" fillId="26" borderId="12" xfId="0" applyFont="1" applyFill="1" applyBorder="1" applyAlignment="1" applyProtection="1">
      <alignment horizontal="center"/>
      <protection locked="0"/>
    </xf>
    <xf numFmtId="0" fontId="21" fillId="26" borderId="14" xfId="0" applyFont="1" applyFill="1" applyBorder="1" applyAlignment="1" applyProtection="1">
      <alignment horizontal="center"/>
      <protection locked="0"/>
    </xf>
    <xf numFmtId="0" fontId="7" fillId="26" borderId="1" xfId="0" applyFont="1" applyFill="1" applyBorder="1" applyAlignment="1">
      <alignment horizontal="center"/>
    </xf>
    <xf numFmtId="0" fontId="7" fillId="26" borderId="53" xfId="0" applyFont="1" applyFill="1" applyBorder="1" applyAlignment="1">
      <alignment horizontal="center"/>
    </xf>
    <xf numFmtId="0" fontId="7" fillId="26" borderId="5" xfId="0" applyFont="1" applyFill="1" applyBorder="1" applyAlignment="1">
      <alignment horizontal="center"/>
    </xf>
    <xf numFmtId="0" fontId="5" fillId="26" borderId="56" xfId="0" applyFont="1" applyFill="1" applyBorder="1" applyAlignment="1">
      <alignment horizontal="center"/>
    </xf>
    <xf numFmtId="0" fontId="5" fillId="26" borderId="59" xfId="0" applyFont="1" applyFill="1" applyBorder="1" applyAlignment="1">
      <alignment horizontal="center"/>
    </xf>
    <xf numFmtId="0" fontId="5" fillId="26" borderId="23" xfId="0" applyFont="1" applyFill="1" applyBorder="1" applyAlignment="1">
      <alignment horizontal="center"/>
    </xf>
    <xf numFmtId="0" fontId="38" fillId="25" borderId="88" xfId="0" applyFont="1" applyFill="1" applyBorder="1" applyAlignment="1">
      <alignment horizontal="center" vertical="center" wrapText="1"/>
    </xf>
    <xf numFmtId="0" fontId="38" fillId="25" borderId="89" xfId="0" applyFont="1" applyFill="1" applyBorder="1" applyAlignment="1">
      <alignment horizontal="center" vertical="center"/>
    </xf>
    <xf numFmtId="0" fontId="21" fillId="26" borderId="17" xfId="0" applyFont="1" applyFill="1" applyBorder="1" applyAlignment="1" applyProtection="1">
      <alignment horizontal="center"/>
      <protection locked="0"/>
    </xf>
    <xf numFmtId="0" fontId="21" fillId="26" borderId="19" xfId="0" applyFont="1" applyFill="1" applyBorder="1" applyAlignment="1" applyProtection="1">
      <alignment horizontal="center"/>
      <protection locked="0"/>
    </xf>
    <xf numFmtId="0" fontId="21" fillId="26" borderId="23" xfId="0" applyFont="1" applyFill="1" applyBorder="1" applyAlignment="1" applyProtection="1">
      <alignment horizontal="center"/>
      <protection locked="0"/>
    </xf>
    <xf numFmtId="0" fontId="21" fillId="26" borderId="25" xfId="0" applyFont="1" applyFill="1" applyBorder="1" applyAlignment="1" applyProtection="1">
      <alignment horizontal="center"/>
      <protection locked="0"/>
    </xf>
    <xf numFmtId="0" fontId="5" fillId="26" borderId="13" xfId="0" applyFont="1" applyFill="1" applyBorder="1" applyAlignment="1">
      <alignment horizontal="center"/>
    </xf>
    <xf numFmtId="0" fontId="5" fillId="31" borderId="18" xfId="0" applyFont="1" applyFill="1" applyBorder="1" applyAlignment="1">
      <alignment horizontal="center"/>
    </xf>
    <xf numFmtId="0" fontId="63" fillId="24" borderId="0" xfId="0" applyFont="1" applyFill="1" applyAlignment="1">
      <alignment horizontal="center" vertical="center"/>
    </xf>
    <xf numFmtId="0" fontId="86" fillId="24" borderId="76" xfId="0" applyFont="1" applyFill="1" applyBorder="1" applyAlignment="1">
      <alignment horizontal="center"/>
    </xf>
    <xf numFmtId="0" fontId="5" fillId="19" borderId="88" xfId="0" applyFont="1" applyFill="1" applyBorder="1" applyAlignment="1">
      <alignment horizontal="center" vertical="center" textRotation="90"/>
    </xf>
    <xf numFmtId="0" fontId="5" fillId="19" borderId="89" xfId="0" applyFont="1" applyFill="1" applyBorder="1" applyAlignment="1">
      <alignment horizontal="center" vertical="center" textRotation="90"/>
    </xf>
    <xf numFmtId="0" fontId="5" fillId="19" borderId="90" xfId="0" applyFont="1" applyFill="1" applyBorder="1" applyAlignment="1">
      <alignment horizontal="center" vertical="center" textRotation="90"/>
    </xf>
    <xf numFmtId="0" fontId="39" fillId="0" borderId="78" xfId="0" applyFont="1" applyFill="1" applyBorder="1" applyAlignment="1">
      <alignment horizontal="right" vertical="center"/>
    </xf>
    <xf numFmtId="0" fontId="39" fillId="0" borderId="0" xfId="0" applyFont="1" applyFill="1" applyBorder="1" applyAlignment="1">
      <alignment horizontal="right" vertical="center"/>
    </xf>
    <xf numFmtId="0" fontId="43" fillId="0" borderId="78" xfId="0" applyFont="1" applyFill="1" applyBorder="1" applyAlignment="1">
      <alignment horizontal="left" vertical="center"/>
    </xf>
    <xf numFmtId="0" fontId="43" fillId="0" borderId="0" xfId="0" applyFont="1" applyFill="1" applyBorder="1" applyAlignment="1">
      <alignment horizontal="left" vertical="center"/>
    </xf>
    <xf numFmtId="0" fontId="39" fillId="0" borderId="83" xfId="0" applyFont="1" applyFill="1" applyBorder="1" applyAlignment="1">
      <alignment horizontal="right" vertical="center"/>
    </xf>
    <xf numFmtId="0" fontId="42" fillId="0" borderId="0" xfId="0" applyFont="1" applyFill="1" applyBorder="1" applyAlignment="1">
      <alignment horizontal="left" vertical="center"/>
    </xf>
    <xf numFmtId="0" fontId="42" fillId="0" borderId="83" xfId="0" applyFont="1" applyFill="1" applyBorder="1" applyAlignment="1">
      <alignment horizontal="left" vertical="center"/>
    </xf>
    <xf numFmtId="0" fontId="58" fillId="0" borderId="67" xfId="0" applyFont="1" applyFill="1" applyBorder="1" applyAlignment="1">
      <alignment horizontal="center"/>
    </xf>
    <xf numFmtId="0" fontId="58" fillId="0" borderId="68" xfId="0" applyFont="1" applyFill="1" applyBorder="1" applyAlignment="1">
      <alignment horizontal="center"/>
    </xf>
    <xf numFmtId="0" fontId="26" fillId="0" borderId="36" xfId="0" applyFont="1" applyFill="1" applyBorder="1" applyAlignment="1">
      <alignment horizontal="center"/>
    </xf>
    <xf numFmtId="0" fontId="26" fillId="0" borderId="74" xfId="0" applyFont="1" applyFill="1" applyBorder="1" applyAlignment="1">
      <alignment horizontal="center"/>
    </xf>
    <xf numFmtId="0" fontId="26" fillId="0" borderId="75" xfId="0" applyFont="1" applyFill="1" applyBorder="1" applyAlignment="1">
      <alignment horizontal="center"/>
    </xf>
    <xf numFmtId="0" fontId="5" fillId="0" borderId="69" xfId="0" applyFont="1" applyFill="1" applyBorder="1" applyAlignment="1">
      <alignment horizontal="center"/>
    </xf>
    <xf numFmtId="0" fontId="5" fillId="0" borderId="70" xfId="0" applyFont="1" applyFill="1" applyBorder="1" applyAlignment="1">
      <alignment horizontal="center"/>
    </xf>
    <xf numFmtId="0" fontId="5" fillId="0" borderId="61" xfId="0" applyFont="1" applyFill="1" applyBorder="1" applyAlignment="1">
      <alignment horizontal="center"/>
    </xf>
    <xf numFmtId="0" fontId="5" fillId="0" borderId="71" xfId="0" applyFont="1" applyFill="1" applyBorder="1" applyAlignment="1">
      <alignment horizontal="center"/>
    </xf>
    <xf numFmtId="0" fontId="5" fillId="0" borderId="67" xfId="0" applyFont="1" applyFill="1" applyBorder="1" applyAlignment="1">
      <alignment horizontal="center"/>
    </xf>
    <xf numFmtId="0" fontId="5" fillId="0" borderId="68" xfId="0" applyFont="1" applyFill="1" applyBorder="1" applyAlignment="1">
      <alignment horizontal="center"/>
    </xf>
    <xf numFmtId="0" fontId="7" fillId="0" borderId="67" xfId="0" applyFont="1" applyFill="1" applyBorder="1" applyAlignment="1">
      <alignment horizontal="center"/>
    </xf>
    <xf numFmtId="0" fontId="7" fillId="0" borderId="65" xfId="0" applyFont="1" applyFill="1" applyBorder="1" applyAlignment="1">
      <alignment horizontal="center"/>
    </xf>
    <xf numFmtId="0" fontId="7" fillId="0" borderId="68" xfId="0" applyFont="1" applyFill="1" applyBorder="1" applyAlignment="1">
      <alignment horizontal="center"/>
    </xf>
  </cellXfs>
  <cellStyles count="4">
    <cellStyle name="Hyperlink" xfId="2" builtinId="8"/>
    <cellStyle name="Procent" xfId="3" builtinId="5"/>
    <cellStyle name="Standaard" xfId="0" builtinId="0"/>
    <cellStyle name="Standaard 2" xfId="1" xr:uid="{00000000-0005-0000-0000-000003000000}"/>
  </cellStyles>
  <dxfs count="118"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29712"/>
        </patternFill>
      </fill>
    </dxf>
    <dxf>
      <fill>
        <patternFill>
          <bgColor rgb="FFF29712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lor theme="0" tint="-0.499984740745262"/>
      </font>
    </dxf>
    <dxf>
      <font>
        <b val="0"/>
        <i val="0"/>
        <color rgb="FFFF0000"/>
      </font>
    </dxf>
    <dxf>
      <font>
        <b val="0"/>
        <i val="0"/>
        <color theme="0" tint="-0.499984740745262"/>
      </font>
    </dxf>
    <dxf>
      <font>
        <b val="0"/>
        <i val="0"/>
        <color theme="0" tint="-0.34998626667073579"/>
      </font>
    </dxf>
    <dxf>
      <font>
        <color theme="0" tint="-0.499984740745262"/>
      </font>
    </dxf>
    <dxf>
      <font>
        <b val="0"/>
        <i val="0"/>
        <color rgb="FFFF0000"/>
      </font>
    </dxf>
    <dxf>
      <font>
        <b val="0"/>
        <i val="0"/>
        <color theme="0" tint="-0.499984740745262"/>
      </font>
    </dxf>
    <dxf>
      <font>
        <b val="0"/>
        <i val="0"/>
        <color theme="0" tint="-0.34998626667073579"/>
      </font>
    </dxf>
    <dxf>
      <font>
        <color rgb="FF00B050"/>
      </font>
    </dxf>
    <dxf>
      <font>
        <color rgb="FFFF9900"/>
      </font>
    </dxf>
    <dxf>
      <font>
        <color theme="0"/>
      </font>
    </dxf>
    <dxf>
      <font>
        <color theme="0" tint="-0.499984740745262"/>
      </font>
    </dxf>
    <dxf>
      <font>
        <b val="0"/>
        <i val="0"/>
        <color rgb="FFFF0000"/>
      </font>
    </dxf>
    <dxf>
      <font>
        <b val="0"/>
        <i val="0"/>
        <color theme="0" tint="-0.499984740745262"/>
      </font>
    </dxf>
    <dxf>
      <font>
        <b val="0"/>
        <i val="0"/>
        <color theme="0" tint="-0.34998626667073579"/>
      </font>
    </dxf>
    <dxf>
      <font>
        <color rgb="FFFF0000"/>
      </font>
    </dxf>
    <dxf>
      <font>
        <color theme="0"/>
      </font>
    </dxf>
    <dxf>
      <font>
        <condense val="0"/>
        <extend val="0"/>
        <color indexed="9"/>
      </font>
    </dxf>
    <dxf>
      <font>
        <color rgb="FFFF0000"/>
      </font>
    </dxf>
    <dxf>
      <font>
        <color rgb="FF00B050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color theme="1" tint="0.34998626667073579"/>
      </font>
    </dxf>
    <dxf>
      <font>
        <color theme="1" tint="0.34998626667073579"/>
      </font>
    </dxf>
    <dxf>
      <font>
        <b/>
        <i val="0"/>
        <color rgb="FF92D05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 val="0"/>
        <i/>
        <color theme="0" tint="-0.499984740745262"/>
      </font>
    </dxf>
    <dxf>
      <font>
        <b val="0"/>
        <i/>
        <condense val="0"/>
        <extend val="0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b val="0"/>
        <i/>
        <condense val="0"/>
        <extend val="0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b val="0"/>
        <i/>
        <condense val="0"/>
        <extend val="0"/>
      </font>
    </dxf>
    <dxf>
      <font>
        <condense val="0"/>
        <extend val="0"/>
        <color indexed="10"/>
      </font>
    </dxf>
    <dxf>
      <font>
        <condense val="0"/>
        <extend val="0"/>
        <color indexed="23"/>
      </font>
    </dxf>
    <dxf>
      <font>
        <b val="0"/>
        <i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FF99"/>
      <color rgb="FFCC0000"/>
      <color rgb="FFFF99CC"/>
      <color rgb="FFFF3300"/>
      <color rgb="FFFFFFCC"/>
      <color rgb="FFCCFFCC"/>
      <color rgb="FFF29712"/>
      <color rgb="FFF2970A"/>
      <color rgb="FFFF99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1.238609605650633E-2"/>
          <c:y val="2.5114676776313433E-2"/>
          <c:w val="0.95652735969521541"/>
          <c:h val="0.9465307099818715"/>
        </c:manualLayout>
      </c:layout>
      <c:lineChart>
        <c:grouping val="standard"/>
        <c:varyColors val="0"/>
        <c:ser>
          <c:idx val="0"/>
          <c:order val="0"/>
          <c:tx>
            <c:strRef>
              <c:f>progressie!$D$12</c:f>
              <c:strCache>
                <c:ptCount val="1"/>
                <c:pt idx="0">
                  <c:v>C. Leclerc</c:v>
                </c:pt>
              </c:strCache>
            </c:strRef>
          </c:tx>
          <c:spPr>
            <a:ln w="28575" cap="rnd">
              <a:solidFill>
                <a:schemeClr val="accent1">
                  <a:shade val="36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36000"/>
                </a:schemeClr>
              </a:solidFill>
              <a:ln w="9525">
                <a:solidFill>
                  <a:schemeClr val="accent1">
                    <a:shade val="36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21"/>
                  <c:y val="-8.1708877274165297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progressie!$E$12:$F$12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5C-4C8F-A1A9-92212F809C96}"/>
            </c:ext>
          </c:extLst>
        </c:ser>
        <c:ser>
          <c:idx val="1"/>
          <c:order val="1"/>
          <c:tx>
            <c:strRef>
              <c:f>progressie!$D$13</c:f>
              <c:strCache>
                <c:ptCount val="1"/>
                <c:pt idx="0">
                  <c:v>L. Hamilton</c:v>
                </c:pt>
              </c:strCache>
            </c:strRef>
          </c:tx>
          <c:spPr>
            <a:ln w="28575" cap="rnd">
              <a:solidFill>
                <a:schemeClr val="accent1">
                  <a:shade val="43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43000"/>
                </a:schemeClr>
              </a:solidFill>
              <a:ln w="9525">
                <a:solidFill>
                  <a:schemeClr val="accent1">
                    <a:shade val="43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21"/>
                  <c:y val="-7.9146864124172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progressie!$E$13:$F$13</c:f>
              <c:numCache>
                <c:formatCode>General</c:formatCode>
                <c:ptCount val="2"/>
                <c:pt idx="0">
                  <c:v>2</c:v>
                </c:pt>
                <c:pt idx="1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A5C-4C8F-A1A9-92212F809C96}"/>
            </c:ext>
          </c:extLst>
        </c:ser>
        <c:ser>
          <c:idx val="2"/>
          <c:order val="2"/>
          <c:tx>
            <c:strRef>
              <c:f>progressie!$D$14</c:f>
              <c:strCache>
                <c:ptCount val="1"/>
                <c:pt idx="0">
                  <c:v>V. Bottas</c:v>
                </c:pt>
              </c:strCache>
            </c:strRef>
          </c:tx>
          <c:spPr>
            <a:ln w="28575" cap="rnd">
              <a:solidFill>
                <a:schemeClr val="accent1">
                  <a:shade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50000"/>
                </a:schemeClr>
              </a:solidFill>
              <a:ln w="9525">
                <a:solidFill>
                  <a:schemeClr val="accent1">
                    <a:shade val="5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21"/>
                  <c:y val="-7.6586530764205076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progressie!$E$14:$F$14</c:f>
              <c:numCache>
                <c:formatCode>General</c:formatCode>
                <c:ptCount val="2"/>
                <c:pt idx="0">
                  <c:v>3</c:v>
                </c:pt>
                <c:pt idx="1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A5C-4C8F-A1A9-92212F809C96}"/>
            </c:ext>
          </c:extLst>
        </c:ser>
        <c:ser>
          <c:idx val="3"/>
          <c:order val="3"/>
          <c:tx>
            <c:strRef>
              <c:f>progressie!$D$15</c:f>
              <c:strCache>
                <c:ptCount val="1"/>
                <c:pt idx="0">
                  <c:v>S. Vettel</c:v>
                </c:pt>
              </c:strCache>
            </c:strRef>
          </c:tx>
          <c:spPr>
            <a:ln w="28575" cap="rnd">
              <a:solidFill>
                <a:schemeClr val="accent1">
                  <a:shade val="56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56000"/>
                </a:schemeClr>
              </a:solidFill>
              <a:ln w="9525">
                <a:solidFill>
                  <a:schemeClr val="accent1">
                    <a:shade val="56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18"/>
                  <c:y val="-9.0031835543019877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progressie!$E$15:$F$15</c:f>
              <c:numCache>
                <c:formatCode>General</c:formatCode>
                <c:ptCount val="2"/>
                <c:pt idx="0">
                  <c:v>4</c:v>
                </c:pt>
                <c:pt idx="1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6A5C-4C8F-A1A9-92212F809C96}"/>
            </c:ext>
          </c:extLst>
        </c:ser>
        <c:ser>
          <c:idx val="4"/>
          <c:order val="4"/>
          <c:tx>
            <c:strRef>
              <c:f>progressie!$D$16</c:f>
              <c:strCache>
                <c:ptCount val="1"/>
                <c:pt idx="0">
                  <c:v>D. Ricciardo</c:v>
                </c:pt>
              </c:strCache>
            </c:strRef>
          </c:tx>
          <c:spPr>
            <a:ln w="28575" cap="rnd">
              <a:solidFill>
                <a:schemeClr val="accent1">
                  <a:shade val="63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3000"/>
                </a:schemeClr>
              </a:solidFill>
              <a:ln w="9525">
                <a:solidFill>
                  <a:schemeClr val="accent1">
                    <a:shade val="63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21"/>
                  <c:y val="-8.7471502183052822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progressie!$E$16:$F$16</c:f>
              <c:numCache>
                <c:formatCode>General</c:formatCode>
                <c:ptCount val="2"/>
                <c:pt idx="0">
                  <c:v>5</c:v>
                </c:pt>
                <c:pt idx="1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6A5C-4C8F-A1A9-92212F809C96}"/>
            </c:ext>
          </c:extLst>
        </c:ser>
        <c:ser>
          <c:idx val="5"/>
          <c:order val="5"/>
          <c:tx>
            <c:strRef>
              <c:f>progressie!$D$17</c:f>
              <c:strCache>
                <c:ptCount val="1"/>
                <c:pt idx="0">
                  <c:v>N. Hulkenberg</c:v>
                </c:pt>
              </c:strCache>
            </c:strRef>
          </c:tx>
          <c:spPr>
            <a:ln w="28575" cap="rnd">
              <a:solidFill>
                <a:schemeClr val="accent1">
                  <a:shade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70000"/>
                </a:schemeClr>
              </a:solidFill>
              <a:ln w="9525">
                <a:solidFill>
                  <a:schemeClr val="accent1">
                    <a:shade val="7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18"/>
                  <c:y val="-8.4909489033059508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progressie!$E$17:$F$17</c:f>
              <c:numCache>
                <c:formatCode>General</c:formatCode>
                <c:ptCount val="2"/>
                <c:pt idx="0">
                  <c:v>6</c:v>
                </c:pt>
                <c:pt idx="1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6A5C-4C8F-A1A9-92212F809C96}"/>
            </c:ext>
          </c:extLst>
        </c:ser>
        <c:ser>
          <c:idx val="6"/>
          <c:order val="6"/>
          <c:tx>
            <c:strRef>
              <c:f>progressie!$D$18</c:f>
              <c:strCache>
                <c:ptCount val="1"/>
                <c:pt idx="0">
                  <c:v>C. Sainz</c:v>
                </c:pt>
              </c:strCache>
            </c:strRef>
          </c:tx>
          <c:spPr>
            <a:ln w="28575" cap="rnd">
              <a:solidFill>
                <a:schemeClr val="accent1">
                  <a:shade val="76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76000"/>
                </a:schemeClr>
              </a:solidFill>
              <a:ln w="9525">
                <a:solidFill>
                  <a:schemeClr val="accent1">
                    <a:shade val="76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18"/>
                  <c:y val="-8.2349155673092454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progressie!$E$18:$F$18</c:f>
              <c:numCache>
                <c:formatCode>General</c:formatCode>
                <c:ptCount val="2"/>
                <c:pt idx="0">
                  <c:v>7</c:v>
                </c:pt>
                <c:pt idx="1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6A5C-4C8F-A1A9-92212F809C96}"/>
            </c:ext>
          </c:extLst>
        </c:ser>
        <c:ser>
          <c:idx val="7"/>
          <c:order val="7"/>
          <c:tx>
            <c:strRef>
              <c:f>progressie!$D$19</c:f>
              <c:strCache>
                <c:ptCount val="1"/>
                <c:pt idx="0">
                  <c:v>A. Albon¹</c:v>
                </c:pt>
              </c:strCache>
            </c:strRef>
          </c:tx>
          <c:spPr>
            <a:ln w="28575" cap="rnd">
              <a:solidFill>
                <a:schemeClr val="accent1">
                  <a:shade val="83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83000"/>
                </a:schemeClr>
              </a:solidFill>
              <a:ln w="9525">
                <a:solidFill>
                  <a:schemeClr val="accent1">
                    <a:shade val="83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18"/>
                  <c:y val="-7.9787142523099139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progressie!$E$19:$F$19</c:f>
              <c:numCache>
                <c:formatCode>General</c:formatCode>
                <c:ptCount val="2"/>
                <c:pt idx="0">
                  <c:v>8</c:v>
                </c:pt>
                <c:pt idx="1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6A5C-4C8F-A1A9-92212F809C96}"/>
            </c:ext>
          </c:extLst>
        </c:ser>
        <c:ser>
          <c:idx val="8"/>
          <c:order val="8"/>
          <c:tx>
            <c:strRef>
              <c:f>progressie!$D$20</c:f>
              <c:strCache>
                <c:ptCount val="1"/>
                <c:pt idx="0">
                  <c:v>L. Stroll</c:v>
                </c:pt>
              </c:strCache>
            </c:strRef>
          </c:tx>
          <c:spPr>
            <a:ln w="28575" cap="rnd">
              <a:solidFill>
                <a:schemeClr val="accent1">
                  <a:shade val="9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90000"/>
                </a:schemeClr>
              </a:solidFill>
              <a:ln w="9525">
                <a:solidFill>
                  <a:schemeClr val="accent1">
                    <a:shade val="9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18"/>
                  <c:y val="-7.722680916313153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progressie!$E$20:$F$20</c:f>
              <c:numCache>
                <c:formatCode>General</c:formatCode>
                <c:ptCount val="2"/>
                <c:pt idx="0">
                  <c:v>9</c:v>
                </c:pt>
                <c:pt idx="1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6A5C-4C8F-A1A9-92212F809C96}"/>
            </c:ext>
          </c:extLst>
        </c:ser>
        <c:ser>
          <c:idx val="9"/>
          <c:order val="9"/>
          <c:tx>
            <c:strRef>
              <c:f>progressie!$D$21</c:f>
              <c:strCache>
                <c:ptCount val="1"/>
                <c:pt idx="0">
                  <c:v>A. Giovinazzi</c:v>
                </c:pt>
              </c:strCache>
            </c:strRef>
          </c:tx>
          <c:spPr>
            <a:ln w="28575" cap="rnd">
              <a:solidFill>
                <a:schemeClr val="accent1">
                  <a:shade val="96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96000"/>
                </a:schemeClr>
              </a:solidFill>
              <a:ln w="9525">
                <a:solidFill>
                  <a:schemeClr val="accent1">
                    <a:shade val="96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18"/>
                  <c:y val="-9.0672113941946599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progressie!$E$21:$F$21</c:f>
              <c:numCache>
                <c:formatCode>General</c:formatCode>
                <c:ptCount val="2"/>
                <c:pt idx="0">
                  <c:v>10</c:v>
                </c:pt>
                <c:pt idx="1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6A5C-4C8F-A1A9-92212F809C96}"/>
            </c:ext>
          </c:extLst>
        </c:ser>
        <c:ser>
          <c:idx val="10"/>
          <c:order val="10"/>
          <c:tx>
            <c:strRef>
              <c:f>progressie!$D$22</c:f>
              <c:strCache>
                <c:ptCount val="1"/>
                <c:pt idx="0">
                  <c:v>K. Magnussen</c:v>
                </c:pt>
              </c:strCache>
            </c:strRef>
          </c:tx>
          <c:spPr>
            <a:ln w="28575" cap="rnd">
              <a:solidFill>
                <a:schemeClr val="accent1">
                  <a:tint val="97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97000"/>
                </a:schemeClr>
              </a:solidFill>
              <a:ln w="9525">
                <a:solidFill>
                  <a:schemeClr val="accent1">
                    <a:tint val="97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18"/>
                  <c:y val="-8.8111780581979545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progressie!$E$22:$F$22</c:f>
              <c:numCache>
                <c:formatCode>General</c:formatCode>
                <c:ptCount val="2"/>
                <c:pt idx="0">
                  <c:v>11</c:v>
                </c:pt>
                <c:pt idx="1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6A5C-4C8F-A1A9-92212F809C96}"/>
            </c:ext>
          </c:extLst>
        </c:ser>
        <c:ser>
          <c:idx val="11"/>
          <c:order val="11"/>
          <c:tx>
            <c:strRef>
              <c:f>progressie!$D$23</c:f>
              <c:strCache>
                <c:ptCount val="1"/>
                <c:pt idx="0">
                  <c:v>D. Kvyat</c:v>
                </c:pt>
              </c:strCache>
            </c:strRef>
          </c:tx>
          <c:spPr>
            <a:ln w="28575" cap="rnd">
              <a:solidFill>
                <a:schemeClr val="accent1">
                  <a:tint val="9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90000"/>
                </a:schemeClr>
              </a:solidFill>
              <a:ln w="9525">
                <a:solidFill>
                  <a:schemeClr val="accent1">
                    <a:tint val="9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21"/>
                  <c:y val="-8.554976743198623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progressie!$E$23:$F$23</c:f>
              <c:numCache>
                <c:formatCode>General</c:formatCode>
                <c:ptCount val="2"/>
                <c:pt idx="0">
                  <c:v>12</c:v>
                </c:pt>
                <c:pt idx="1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6A5C-4C8F-A1A9-92212F809C96}"/>
            </c:ext>
          </c:extLst>
        </c:ser>
        <c:ser>
          <c:idx val="12"/>
          <c:order val="12"/>
          <c:tx>
            <c:strRef>
              <c:f>progressie!$D$24</c:f>
              <c:strCache>
                <c:ptCount val="1"/>
                <c:pt idx="0">
                  <c:v>R. Grosjean</c:v>
                </c:pt>
              </c:strCache>
            </c:strRef>
          </c:tx>
          <c:spPr>
            <a:ln w="28575" cap="rnd">
              <a:solidFill>
                <a:schemeClr val="accent1">
                  <a:tint val="84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84000"/>
                </a:schemeClr>
              </a:solidFill>
              <a:ln w="9525">
                <a:solidFill>
                  <a:schemeClr val="accent1">
                    <a:tint val="84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18"/>
                  <c:y val="-8.2989434072018621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progressie!$E$24:$F$24</c:f>
              <c:numCache>
                <c:formatCode>General</c:formatCode>
                <c:ptCount val="2"/>
                <c:pt idx="0">
                  <c:v>13</c:v>
                </c:pt>
                <c:pt idx="1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6A5C-4C8F-A1A9-92212F809C96}"/>
            </c:ext>
          </c:extLst>
        </c:ser>
        <c:ser>
          <c:idx val="13"/>
          <c:order val="13"/>
          <c:tx>
            <c:strRef>
              <c:f>progressie!$D$25</c:f>
              <c:strCache>
                <c:ptCount val="1"/>
                <c:pt idx="0">
                  <c:v>G. Russell</c:v>
                </c:pt>
              </c:strCache>
            </c:strRef>
          </c:tx>
          <c:spPr>
            <a:ln w="28575" cap="rnd">
              <a:solidFill>
                <a:schemeClr val="accent1">
                  <a:tint val="77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77000"/>
                </a:schemeClr>
              </a:solidFill>
              <a:ln w="9525">
                <a:solidFill>
                  <a:schemeClr val="accent1">
                    <a:tint val="77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18"/>
                  <c:y val="-8.0427420922024769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progressie!$E$25:$F$25</c:f>
              <c:numCache>
                <c:formatCode>General</c:formatCode>
                <c:ptCount val="2"/>
                <c:pt idx="0">
                  <c:v>14</c:v>
                </c:pt>
                <c:pt idx="1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6A5C-4C8F-A1A9-92212F809C96}"/>
            </c:ext>
          </c:extLst>
        </c:ser>
        <c:ser>
          <c:idx val="14"/>
          <c:order val="14"/>
          <c:tx>
            <c:strRef>
              <c:f>progressie!$D$26</c:f>
              <c:strCache>
                <c:ptCount val="1"/>
                <c:pt idx="0">
                  <c:v>R. Kubica</c:v>
                </c:pt>
              </c:strCache>
            </c:strRef>
          </c:tx>
          <c:spPr>
            <a:ln w="28575" cap="rnd">
              <a:solidFill>
                <a:schemeClr val="accent1">
                  <a:tint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70000"/>
                </a:schemeClr>
              </a:solidFill>
              <a:ln w="9525">
                <a:solidFill>
                  <a:schemeClr val="accent1">
                    <a:tint val="7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21"/>
                  <c:y val="-7.7867087562058252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progressie!$E$26:$F$26</c:f>
              <c:numCache>
                <c:formatCode>General</c:formatCode>
                <c:ptCount val="2"/>
                <c:pt idx="0">
                  <c:v>15</c:v>
                </c:pt>
                <c:pt idx="1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6A5C-4C8F-A1A9-92212F809C96}"/>
            </c:ext>
          </c:extLst>
        </c:ser>
        <c:ser>
          <c:idx val="15"/>
          <c:order val="15"/>
          <c:tx>
            <c:strRef>
              <c:f>progressie!$D$27</c:f>
              <c:strCache>
                <c:ptCount val="1"/>
                <c:pt idx="0">
                  <c:v>L. Norris</c:v>
                </c:pt>
              </c:strCache>
            </c:strRef>
          </c:tx>
          <c:spPr>
            <a:ln w="28575" cap="rnd">
              <a:solidFill>
                <a:schemeClr val="accent1">
                  <a:tint val="64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4000"/>
                </a:schemeClr>
              </a:solidFill>
              <a:ln w="9525">
                <a:solidFill>
                  <a:schemeClr val="accent1">
                    <a:tint val="64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18"/>
                  <c:y val="-9.1312392340873339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progressie!$E$27:$F$27</c:f>
              <c:numCache>
                <c:formatCode>General</c:formatCode>
                <c:ptCount val="2"/>
                <c:pt idx="0">
                  <c:v>16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F-6A5C-4C8F-A1A9-92212F809C96}"/>
            </c:ext>
          </c:extLst>
        </c:ser>
        <c:ser>
          <c:idx val="16"/>
          <c:order val="16"/>
          <c:tx>
            <c:strRef>
              <c:f>progressie!$D$28</c:f>
              <c:strCache>
                <c:ptCount val="1"/>
                <c:pt idx="0">
                  <c:v>P. Gasly¹</c:v>
                </c:pt>
              </c:strCache>
            </c:strRef>
          </c:tx>
          <c:spPr>
            <a:ln w="28575" cap="rnd">
              <a:solidFill>
                <a:schemeClr val="accent1">
                  <a:tint val="57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57000"/>
                </a:schemeClr>
              </a:solidFill>
              <a:ln w="9525">
                <a:solidFill>
                  <a:schemeClr val="accent1">
                    <a:tint val="57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21"/>
                  <c:y val="-8.8752058980905713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progressie!$E$28:$F$28</c:f>
              <c:numCache>
                <c:formatCode>General</c:formatCode>
                <c:ptCount val="2"/>
                <c:pt idx="0">
                  <c:v>17</c:v>
                </c:pt>
                <c:pt idx="1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1-6A5C-4C8F-A1A9-92212F809C96}"/>
            </c:ext>
          </c:extLst>
        </c:ser>
        <c:ser>
          <c:idx val="17"/>
          <c:order val="17"/>
          <c:tx>
            <c:strRef>
              <c:f>progressie!$D$29</c:f>
              <c:strCache>
                <c:ptCount val="1"/>
                <c:pt idx="0">
                  <c:v>S. Pérez</c:v>
                </c:pt>
              </c:strCache>
            </c:strRef>
          </c:tx>
          <c:spPr>
            <a:ln w="28575" cap="rnd">
              <a:solidFill>
                <a:schemeClr val="accent1">
                  <a:tint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50000"/>
                </a:schemeClr>
              </a:solidFill>
              <a:ln w="9525">
                <a:solidFill>
                  <a:schemeClr val="accent1">
                    <a:tint val="5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21"/>
                  <c:y val="-8.619004583091297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progressie!$E$29:$F$29</c:f>
              <c:numCache>
                <c:formatCode>General</c:formatCode>
                <c:ptCount val="2"/>
                <c:pt idx="0">
                  <c:v>18</c:v>
                </c:pt>
                <c:pt idx="1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3-6A5C-4C8F-A1A9-92212F809C96}"/>
            </c:ext>
          </c:extLst>
        </c:ser>
        <c:ser>
          <c:idx val="18"/>
          <c:order val="18"/>
          <c:tx>
            <c:strRef>
              <c:f>progressie!$D$30</c:f>
              <c:strCache>
                <c:ptCount val="1"/>
                <c:pt idx="0">
                  <c:v>M. Verstappen</c:v>
                </c:pt>
              </c:strCache>
            </c:strRef>
          </c:tx>
          <c:spPr>
            <a:ln w="28575" cap="rnd">
              <a:solidFill>
                <a:schemeClr val="accent1">
                  <a:tint val="44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44000"/>
                </a:schemeClr>
              </a:solidFill>
              <a:ln w="9525">
                <a:solidFill>
                  <a:schemeClr val="accent1">
                    <a:tint val="44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8956270440557621"/>
                  <c:y val="-8.3629712470945344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progressie!$E$30:$F$30</c:f>
              <c:numCache>
                <c:formatCode>General</c:formatCode>
                <c:ptCount val="2"/>
                <c:pt idx="0">
                  <c:v>19</c:v>
                </c:pt>
                <c:pt idx="1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5-6A5C-4C8F-A1A9-92212F809C96}"/>
            </c:ext>
          </c:extLst>
        </c:ser>
        <c:ser>
          <c:idx val="19"/>
          <c:order val="19"/>
          <c:tx>
            <c:strRef>
              <c:f>progressie!$D$31</c:f>
              <c:strCache>
                <c:ptCount val="1"/>
                <c:pt idx="0">
                  <c:v>K. Raïkkönen</c:v>
                </c:pt>
              </c:strCache>
            </c:strRef>
          </c:tx>
          <c:spPr>
            <a:ln w="28575" cap="rnd">
              <a:solidFill>
                <a:schemeClr val="accent1">
                  <a:tint val="37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37000"/>
                </a:schemeClr>
              </a:solidFill>
              <a:ln w="9525">
                <a:solidFill>
                  <a:schemeClr val="accent1">
                    <a:tint val="37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9129504527084418"/>
                  <c:y val="-8.1070425085879218E-3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 - 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6A5C-4C8F-A1A9-92212F809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NL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  - 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progressie!$E$31:$F$31</c:f>
              <c:numCache>
                <c:formatCode>General</c:formatCode>
                <c:ptCount val="2"/>
                <c:pt idx="0">
                  <c:v>20</c:v>
                </c:pt>
                <c:pt idx="1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7-6A5C-4C8F-A1A9-92212F809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7412480"/>
        <c:axId val="187414016"/>
      </c:lineChart>
      <c:catAx>
        <c:axId val="187412480"/>
        <c:scaling>
          <c:orientation val="minMax"/>
        </c:scaling>
        <c:delete val="1"/>
        <c:axPos val="t"/>
        <c:majorTickMark val="none"/>
        <c:minorTickMark val="none"/>
        <c:tickLblPos val="none"/>
        <c:crossAx val="187414016"/>
        <c:crosses val="autoZero"/>
        <c:auto val="1"/>
        <c:lblAlgn val="ctr"/>
        <c:lblOffset val="100"/>
        <c:tickLblSkip val="1"/>
        <c:noMultiLvlLbl val="0"/>
      </c:catAx>
      <c:valAx>
        <c:axId val="187414016"/>
        <c:scaling>
          <c:orientation val="maxMin"/>
          <c:max val="20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187412480"/>
        <c:crosses val="max"/>
        <c:crossBetween val="between"/>
        <c:majorUnit val="5"/>
        <c:minorUnit val="1"/>
      </c:valAx>
      <c:spPr>
        <a:noFill/>
        <a:ln>
          <a:noFill/>
        </a:ln>
        <a:effectLst/>
      </c:spPr>
    </c:plotArea>
    <c:plotVisOnly val="0"/>
    <c:dispBlanksAs val="zero"/>
    <c:showDLblsOverMax val="0"/>
  </c:chart>
  <c:spPr>
    <a:solidFill>
      <a:schemeClr val="bg1">
        <a:lumMod val="75000"/>
      </a:schemeClr>
    </a:solidFill>
    <a:ln w="3175" cap="flat" cmpd="sng" algn="ctr">
      <a:solidFill>
        <a:schemeClr val="tx1">
          <a:lumMod val="65000"/>
          <a:lumOff val="35000"/>
        </a:schemeClr>
      </a:solidFill>
      <a:round/>
    </a:ln>
    <a:effectLst/>
  </c:spPr>
  <c:txPr>
    <a:bodyPr/>
    <a:lstStyle/>
    <a:p>
      <a:pPr>
        <a:defRPr/>
      </a:pPr>
      <a:endParaRPr lang="nl-NL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835148892639461E-2"/>
          <c:y val="9.6582693095145125E-2"/>
          <c:w val="0.91503877357775087"/>
          <c:h val="0.83155418649054857"/>
        </c:manualLayout>
      </c:layout>
      <c:lineChart>
        <c:grouping val="standard"/>
        <c:varyColors val="0"/>
        <c:ser>
          <c:idx val="0"/>
          <c:order val="0"/>
          <c:tx>
            <c:strRef>
              <c:f>gem_start!$AA$9</c:f>
              <c:strCache>
                <c:ptCount val="1"/>
                <c:pt idx="0">
                  <c:v>Mercedes</c:v>
                </c:pt>
              </c:strCache>
            </c:strRef>
          </c:tx>
          <c:spPr>
            <a:ln w="34925" cap="rnd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gem_start!$AB$8:$AV$8</c:f>
              <c:numCache>
                <c:formatCode>General</c:formatCode>
                <c:ptCount val="2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</c:numCache>
            </c:numRef>
          </c:cat>
          <c:val>
            <c:numRef>
              <c:f>gem_start!$AB$9:$AV$9</c:f>
              <c:numCache>
                <c:formatCode>General</c:formatCode>
                <c:ptCount val="21"/>
                <c:pt idx="0">
                  <c:v>1.5</c:v>
                </c:pt>
                <c:pt idx="1">
                  <c:v>3.5</c:v>
                </c:pt>
                <c:pt idx="2">
                  <c:v>1.5</c:v>
                </c:pt>
                <c:pt idx="3">
                  <c:v>1.5</c:v>
                </c:pt>
                <c:pt idx="4">
                  <c:v>1.5</c:v>
                </c:pt>
                <c:pt idx="5">
                  <c:v>1.5</c:v>
                </c:pt>
                <c:pt idx="6">
                  <c:v>4</c:v>
                </c:pt>
                <c:pt idx="7">
                  <c:v>1.5</c:v>
                </c:pt>
                <c:pt idx="8">
                  <c:v>3.5</c:v>
                </c:pt>
                <c:pt idx="9">
                  <c:v>1.5</c:v>
                </c:pt>
                <c:pt idx="10">
                  <c:v>2</c:v>
                </c:pt>
                <c:pt idx="11">
                  <c:v>2.5</c:v>
                </c:pt>
                <c:pt idx="12">
                  <c:v>3.5</c:v>
                </c:pt>
                <c:pt idx="13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6B-410F-A321-0FE5C7047B00}"/>
            </c:ext>
          </c:extLst>
        </c:ser>
        <c:ser>
          <c:idx val="1"/>
          <c:order val="1"/>
          <c:tx>
            <c:strRef>
              <c:f>gem_start!$AA$10</c:f>
              <c:strCache>
                <c:ptCount val="1"/>
                <c:pt idx="0">
                  <c:v>Ferrari</c:v>
                </c:pt>
              </c:strCache>
            </c:strRef>
          </c:tx>
          <c:spPr>
            <a:ln w="34925" cap="rnd">
              <a:solidFill>
                <a:srgbClr val="FF000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gem_start!$AB$8:$AV$8</c:f>
              <c:numCache>
                <c:formatCode>General</c:formatCode>
                <c:ptCount val="2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</c:numCache>
            </c:numRef>
          </c:cat>
          <c:val>
            <c:numRef>
              <c:f>gem_start!$AB$10:$AV$10</c:f>
              <c:numCache>
                <c:formatCode>General</c:formatCode>
                <c:ptCount val="21"/>
                <c:pt idx="0">
                  <c:v>4</c:v>
                </c:pt>
                <c:pt idx="1">
                  <c:v>1.5</c:v>
                </c:pt>
                <c:pt idx="2">
                  <c:v>3.5</c:v>
                </c:pt>
                <c:pt idx="3">
                  <c:v>5.5</c:v>
                </c:pt>
                <c:pt idx="4">
                  <c:v>4</c:v>
                </c:pt>
                <c:pt idx="5">
                  <c:v>9.5</c:v>
                </c:pt>
                <c:pt idx="6">
                  <c:v>2</c:v>
                </c:pt>
                <c:pt idx="7">
                  <c:v>5</c:v>
                </c:pt>
                <c:pt idx="8">
                  <c:v>5</c:v>
                </c:pt>
                <c:pt idx="9">
                  <c:v>4.5</c:v>
                </c:pt>
                <c:pt idx="10">
                  <c:v>15</c:v>
                </c:pt>
                <c:pt idx="11">
                  <c:v>4.5</c:v>
                </c:pt>
                <c:pt idx="12">
                  <c:v>1.5</c:v>
                </c:pt>
                <c:pt idx="13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11-43E3-8E10-7EC3C5E84D2B}"/>
            </c:ext>
          </c:extLst>
        </c:ser>
        <c:ser>
          <c:idx val="2"/>
          <c:order val="2"/>
          <c:tx>
            <c:strRef>
              <c:f>gem_start!$AA$11</c:f>
              <c:strCache>
                <c:ptCount val="1"/>
                <c:pt idx="0">
                  <c:v>Red Bull</c:v>
                </c:pt>
              </c:strCache>
            </c:strRef>
          </c:tx>
          <c:spPr>
            <a:ln w="34925" cap="rnd">
              <a:solidFill>
                <a:schemeClr val="tx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gem_start!$AB$8:$AV$8</c:f>
              <c:numCache>
                <c:formatCode>General</c:formatCode>
                <c:ptCount val="2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</c:numCache>
            </c:numRef>
          </c:cat>
          <c:val>
            <c:numRef>
              <c:f>gem_start!$AB$11:$AV$11</c:f>
              <c:numCache>
                <c:formatCode>General</c:formatCode>
                <c:ptCount val="21"/>
                <c:pt idx="0">
                  <c:v>10.5</c:v>
                </c:pt>
                <c:pt idx="1">
                  <c:v>9</c:v>
                </c:pt>
                <c:pt idx="2">
                  <c:v>5.5</c:v>
                </c:pt>
                <c:pt idx="3">
                  <c:v>12</c:v>
                </c:pt>
                <c:pt idx="4">
                  <c:v>5</c:v>
                </c:pt>
                <c:pt idx="5">
                  <c:v>5.5</c:v>
                </c:pt>
                <c:pt idx="6">
                  <c:v>7</c:v>
                </c:pt>
                <c:pt idx="7">
                  <c:v>6.5</c:v>
                </c:pt>
                <c:pt idx="8">
                  <c:v>5</c:v>
                </c:pt>
                <c:pt idx="9">
                  <c:v>4.5</c:v>
                </c:pt>
                <c:pt idx="10">
                  <c:v>3</c:v>
                </c:pt>
                <c:pt idx="11">
                  <c:v>3.5</c:v>
                </c:pt>
                <c:pt idx="12">
                  <c:v>11</c:v>
                </c:pt>
                <c:pt idx="13">
                  <c:v>13.5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11-43E3-8E10-7EC3C5E84D2B}"/>
            </c:ext>
          </c:extLst>
        </c:ser>
        <c:ser>
          <c:idx val="3"/>
          <c:order val="3"/>
          <c:tx>
            <c:strRef>
              <c:f>gem_start!$AA$12</c:f>
              <c:strCache>
                <c:ptCount val="1"/>
                <c:pt idx="0">
                  <c:v>Renault</c:v>
                </c:pt>
              </c:strCache>
              <c:extLst xmlns:c15="http://schemas.microsoft.com/office/drawing/2012/chart"/>
            </c:strRef>
          </c:tx>
          <c:spPr>
            <a:ln w="34925" cap="rnd">
              <a:solidFill>
                <a:srgbClr val="FFFF0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gem_start!$AB$8:$AV$8</c:f>
              <c:numCache>
                <c:formatCode>General</c:formatCode>
                <c:ptCount val="2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</c:numCache>
              <c:extLst xmlns:c15="http://schemas.microsoft.com/office/drawing/2012/chart"/>
            </c:numRef>
          </c:cat>
          <c:val>
            <c:numRef>
              <c:f>gem_start!$AB$12:$AV$12</c:f>
              <c:numCache>
                <c:formatCode>General</c:formatCode>
                <c:ptCount val="21"/>
                <c:pt idx="0">
                  <c:v>11.5</c:v>
                </c:pt>
                <c:pt idx="1">
                  <c:v>13.5</c:v>
                </c:pt>
                <c:pt idx="2">
                  <c:v>7.5</c:v>
                </c:pt>
                <c:pt idx="3">
                  <c:v>12.5</c:v>
                </c:pt>
                <c:pt idx="4">
                  <c:v>16.5</c:v>
                </c:pt>
                <c:pt idx="5">
                  <c:v>8.5</c:v>
                </c:pt>
                <c:pt idx="6">
                  <c:v>5.5</c:v>
                </c:pt>
                <c:pt idx="7">
                  <c:v>10.5</c:v>
                </c:pt>
                <c:pt idx="8">
                  <c:v>13.5</c:v>
                </c:pt>
                <c:pt idx="9">
                  <c:v>8.5</c:v>
                </c:pt>
                <c:pt idx="10">
                  <c:v>11</c:v>
                </c:pt>
                <c:pt idx="11">
                  <c:v>15.5</c:v>
                </c:pt>
                <c:pt idx="12">
                  <c:v>11</c:v>
                </c:pt>
                <c:pt idx="13">
                  <c:v>5.5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8211-43E3-8E10-7EC3C5E84D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6959840"/>
        <c:axId val="616961480"/>
        <c:extLst>
          <c:ext xmlns:c15="http://schemas.microsoft.com/office/drawing/2012/chart" uri="{02D57815-91ED-43cb-92C2-25804820EDAC}">
            <c15:filteredLine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gem_start!$AA$13</c15:sqref>
                        </c15:formulaRef>
                      </c:ext>
                    </c:extLst>
                    <c:strCache>
                      <c:ptCount val="1"/>
                      <c:pt idx="0">
                        <c:v>Haas</c:v>
                      </c:pt>
                    </c:strCache>
                  </c:strRef>
                </c:tx>
                <c:spPr>
                  <a:ln w="34925" cap="rnd">
                    <a:solidFill>
                      <a:schemeClr val="tx1">
                        <a:lumMod val="75000"/>
                        <a:lumOff val="25000"/>
                      </a:schemeClr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gem_start!$AB$8:$AV$8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gem_start!$AB$13:$AV$13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6.5</c:v>
                      </c:pt>
                      <c:pt idx="1">
                        <c:v>8.5</c:v>
                      </c:pt>
                      <c:pt idx="2">
                        <c:v>9.5</c:v>
                      </c:pt>
                      <c:pt idx="3">
                        <c:v>13</c:v>
                      </c:pt>
                      <c:pt idx="4">
                        <c:v>7.5</c:v>
                      </c:pt>
                      <c:pt idx="5">
                        <c:v>9</c:v>
                      </c:pt>
                      <c:pt idx="6">
                        <c:v>17</c:v>
                      </c:pt>
                      <c:pt idx="7">
                        <c:v>15.5</c:v>
                      </c:pt>
                      <c:pt idx="8">
                        <c:v>10.5</c:v>
                      </c:pt>
                      <c:pt idx="9">
                        <c:v>15</c:v>
                      </c:pt>
                      <c:pt idx="10">
                        <c:v>9</c:v>
                      </c:pt>
                      <c:pt idx="11">
                        <c:v>11.5</c:v>
                      </c:pt>
                      <c:pt idx="12">
                        <c:v>8.5</c:v>
                      </c:pt>
                      <c:pt idx="13">
                        <c:v>12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8211-43E3-8E10-7EC3C5E84D2B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gem_start!$AA$14</c15:sqref>
                        </c15:formulaRef>
                      </c:ext>
                    </c:extLst>
                    <c:strCache>
                      <c:ptCount val="1"/>
                      <c:pt idx="0">
                        <c:v>McLaren</c:v>
                      </c:pt>
                    </c:strCache>
                  </c:strRef>
                </c:tx>
                <c:spPr>
                  <a:ln w="34925" cap="rnd">
                    <a:solidFill>
                      <a:schemeClr val="accent6"/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gem_start!$AB$8:$AV$8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gem_start!$AB$14:$AV$14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13</c:v>
                      </c:pt>
                      <c:pt idx="1">
                        <c:v>8</c:v>
                      </c:pt>
                      <c:pt idx="2">
                        <c:v>14.5</c:v>
                      </c:pt>
                      <c:pt idx="3">
                        <c:v>8</c:v>
                      </c:pt>
                      <c:pt idx="4">
                        <c:v>11</c:v>
                      </c:pt>
                      <c:pt idx="5">
                        <c:v>10.5</c:v>
                      </c:pt>
                      <c:pt idx="6">
                        <c:v>9.5</c:v>
                      </c:pt>
                      <c:pt idx="7">
                        <c:v>5.5</c:v>
                      </c:pt>
                      <c:pt idx="8">
                        <c:v>12</c:v>
                      </c:pt>
                      <c:pt idx="9">
                        <c:v>10.5</c:v>
                      </c:pt>
                      <c:pt idx="10">
                        <c:v>13</c:v>
                      </c:pt>
                      <c:pt idx="11">
                        <c:v>7.5</c:v>
                      </c:pt>
                      <c:pt idx="12">
                        <c:v>13</c:v>
                      </c:pt>
                      <c:pt idx="13">
                        <c:v>11.5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8211-43E3-8E10-7EC3C5E84D2B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gem_start!$AA$15</c15:sqref>
                        </c15:formulaRef>
                      </c:ext>
                    </c:extLst>
                    <c:strCache>
                      <c:ptCount val="1"/>
                      <c:pt idx="0">
                        <c:v>Racing Point</c:v>
                      </c:pt>
                    </c:strCache>
                  </c:strRef>
                </c:tx>
                <c:spPr>
                  <a:ln w="34925" cap="rnd">
                    <a:solidFill>
                      <a:srgbClr val="FF99CC"/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gem_start!$AB$8:$AV$8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gem_start!$AB$15:$AV$15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13</c:v>
                      </c:pt>
                      <c:pt idx="1">
                        <c:v>16</c:v>
                      </c:pt>
                      <c:pt idx="2">
                        <c:v>14</c:v>
                      </c:pt>
                      <c:pt idx="3">
                        <c:v>9</c:v>
                      </c:pt>
                      <c:pt idx="4">
                        <c:v>15.5</c:v>
                      </c:pt>
                      <c:pt idx="5">
                        <c:v>16.5</c:v>
                      </c:pt>
                      <c:pt idx="6">
                        <c:v>16</c:v>
                      </c:pt>
                      <c:pt idx="7">
                        <c:v>15.5</c:v>
                      </c:pt>
                      <c:pt idx="8">
                        <c:v>13.5</c:v>
                      </c:pt>
                      <c:pt idx="9">
                        <c:v>16.5</c:v>
                      </c:pt>
                      <c:pt idx="10">
                        <c:v>11.5</c:v>
                      </c:pt>
                      <c:pt idx="11">
                        <c:v>17</c:v>
                      </c:pt>
                      <c:pt idx="12">
                        <c:v>11.5</c:v>
                      </c:pt>
                      <c:pt idx="13">
                        <c:v>13.5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8211-43E3-8E10-7EC3C5E84D2B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gem_start!$AA$16</c15:sqref>
                        </c15:formulaRef>
                      </c:ext>
                    </c:extLst>
                    <c:strCache>
                      <c:ptCount val="1"/>
                      <c:pt idx="0">
                        <c:v>Alfa Romeo</c:v>
                      </c:pt>
                    </c:strCache>
                  </c:strRef>
                </c:tx>
                <c:spPr>
                  <a:ln w="34925" cap="rnd">
                    <a:solidFill>
                      <a:srgbClr val="CC0000"/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gem_start!$AB$8:$AV$8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gem_start!$AB$16:$AV$16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11.5</c:v>
                      </c:pt>
                      <c:pt idx="1">
                        <c:v>12</c:v>
                      </c:pt>
                      <c:pt idx="2">
                        <c:v>16</c:v>
                      </c:pt>
                      <c:pt idx="3">
                        <c:v>18</c:v>
                      </c:pt>
                      <c:pt idx="4">
                        <c:v>16</c:v>
                      </c:pt>
                      <c:pt idx="5">
                        <c:v>16</c:v>
                      </c:pt>
                      <c:pt idx="6">
                        <c:v>14</c:v>
                      </c:pt>
                      <c:pt idx="7">
                        <c:v>11</c:v>
                      </c:pt>
                      <c:pt idx="8">
                        <c:v>6.5</c:v>
                      </c:pt>
                      <c:pt idx="9">
                        <c:v>11.5</c:v>
                      </c:pt>
                      <c:pt idx="10">
                        <c:v>8</c:v>
                      </c:pt>
                      <c:pt idx="11">
                        <c:v>13.5</c:v>
                      </c:pt>
                      <c:pt idx="12">
                        <c:v>12</c:v>
                      </c:pt>
                      <c:pt idx="13">
                        <c:v>15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8211-43E3-8E10-7EC3C5E84D2B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gem_start!$AA$17</c15:sqref>
                        </c15:formulaRef>
                      </c:ext>
                    </c:extLst>
                    <c:strCache>
                      <c:ptCount val="1"/>
                      <c:pt idx="0">
                        <c:v>Toro Rosso</c:v>
                      </c:pt>
                    </c:strCache>
                  </c:strRef>
                </c:tx>
                <c:spPr>
                  <a:ln w="34925" cap="rnd">
                    <a:solidFill>
                      <a:schemeClr val="accent1">
                        <a:lumMod val="75000"/>
                      </a:schemeClr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gem_start!$AB$8:$AV$8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gem_start!$AB$17:$AV$17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14</c:v>
                      </c:pt>
                      <c:pt idx="1">
                        <c:v>13.5</c:v>
                      </c:pt>
                      <c:pt idx="2">
                        <c:v>15.5</c:v>
                      </c:pt>
                      <c:pt idx="3">
                        <c:v>8.5</c:v>
                      </c:pt>
                      <c:pt idx="4">
                        <c:v>10</c:v>
                      </c:pt>
                      <c:pt idx="5">
                        <c:v>8.5</c:v>
                      </c:pt>
                      <c:pt idx="6">
                        <c:v>11.5</c:v>
                      </c:pt>
                      <c:pt idx="7">
                        <c:v>15</c:v>
                      </c:pt>
                      <c:pt idx="8">
                        <c:v>17</c:v>
                      </c:pt>
                      <c:pt idx="9">
                        <c:v>13</c:v>
                      </c:pt>
                      <c:pt idx="10">
                        <c:v>15</c:v>
                      </c:pt>
                      <c:pt idx="11">
                        <c:v>12.5</c:v>
                      </c:pt>
                      <c:pt idx="12">
                        <c:v>16</c:v>
                      </c:pt>
                      <c:pt idx="13">
                        <c:v>14.5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8211-43E3-8E10-7EC3C5E84D2B}"/>
                  </c:ext>
                </c:extLst>
              </c15:ser>
            </c15:filteredLineSeries>
            <c15:filteredLine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gem_start!$AA$18</c15:sqref>
                        </c15:formulaRef>
                      </c:ext>
                    </c:extLst>
                    <c:strCache>
                      <c:ptCount val="1"/>
                      <c:pt idx="0">
                        <c:v>Williams</c:v>
                      </c:pt>
                    </c:strCache>
                  </c:strRef>
                </c:tx>
                <c:spPr>
                  <a:ln w="34925" cap="rnd">
                    <a:solidFill>
                      <a:schemeClr val="accent1">
                        <a:lumMod val="20000"/>
                        <a:lumOff val="80000"/>
                      </a:schemeClr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gem_start!$AB$8:$AV$8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gem_start!$AB$18:$AV$18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19.5</c:v>
                      </c:pt>
                      <c:pt idx="1">
                        <c:v>19.5</c:v>
                      </c:pt>
                      <c:pt idx="2">
                        <c:v>17.5</c:v>
                      </c:pt>
                      <c:pt idx="3">
                        <c:v>17</c:v>
                      </c:pt>
                      <c:pt idx="4">
                        <c:v>18</c:v>
                      </c:pt>
                      <c:pt idx="5">
                        <c:v>19.5</c:v>
                      </c:pt>
                      <c:pt idx="6">
                        <c:v>18.5</c:v>
                      </c:pt>
                      <c:pt idx="7">
                        <c:v>19</c:v>
                      </c:pt>
                      <c:pt idx="8">
                        <c:v>18.5</c:v>
                      </c:pt>
                      <c:pt idx="9">
                        <c:v>19.5</c:v>
                      </c:pt>
                      <c:pt idx="10">
                        <c:v>17.5</c:v>
                      </c:pt>
                      <c:pt idx="11">
                        <c:v>17</c:v>
                      </c:pt>
                      <c:pt idx="12">
                        <c:v>17</c:v>
                      </c:pt>
                      <c:pt idx="13">
                        <c:v>14.5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8211-43E3-8E10-7EC3C5E84D2B}"/>
                  </c:ext>
                </c:extLst>
              </c15:ser>
            </c15:filteredLineSeries>
          </c:ext>
        </c:extLst>
      </c:lineChart>
      <c:catAx>
        <c:axId val="616959840"/>
        <c:scaling>
          <c:orientation val="minMax"/>
        </c:scaling>
        <c:delete val="0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NL" b="1"/>
                  <a:t>race</a:t>
                </a:r>
              </a:p>
            </c:rich>
          </c:tx>
          <c:layout>
            <c:manualLayout>
              <c:xMode val="edge"/>
              <c:yMode val="edge"/>
              <c:x val="0.4859166183738437"/>
              <c:y val="1.9800409757134929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N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616961480"/>
        <c:crossesAt val="0"/>
        <c:auto val="1"/>
        <c:lblAlgn val="ctr"/>
        <c:lblOffset val="100"/>
        <c:noMultiLvlLbl val="0"/>
      </c:catAx>
      <c:valAx>
        <c:axId val="616961480"/>
        <c:scaling>
          <c:orientation val="maxMin"/>
          <c:max val="20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NL" b="1"/>
                  <a:t>gem. start positie per team</a:t>
                </a:r>
              </a:p>
            </c:rich>
          </c:tx>
          <c:layout>
            <c:manualLayout>
              <c:xMode val="edge"/>
              <c:yMode val="edge"/>
              <c:x val="1.6586473808402911E-2"/>
              <c:y val="0.3946702701446613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N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616959840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NL"/>
        </a:p>
      </c:txPr>
    </c:legend>
    <c:plotVisOnly val="0"/>
    <c:dispBlanksAs val="gap"/>
    <c:showDLblsOverMax val="0"/>
    <c:extLst/>
  </c:chart>
  <c:spPr>
    <a:solidFill>
      <a:schemeClr val="bg1">
        <a:lumMod val="7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N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13" Type="http://schemas.microsoft.com/office/2007/relationships/hdphoto" Target="../media/hdphoto3.wdp"/><Relationship Id="rId18" Type="http://schemas.openxmlformats.org/officeDocument/2006/relationships/image" Target="../media/image15.png"/><Relationship Id="rId26" Type="http://schemas.openxmlformats.org/officeDocument/2006/relationships/image" Target="../media/image20.png"/><Relationship Id="rId3" Type="http://schemas.openxmlformats.org/officeDocument/2006/relationships/image" Target="../media/image2.png"/><Relationship Id="rId21" Type="http://schemas.microsoft.com/office/2007/relationships/hdphoto" Target="../media/hdphoto4.wdp"/><Relationship Id="rId7" Type="http://schemas.openxmlformats.org/officeDocument/2006/relationships/image" Target="../media/image5.png"/><Relationship Id="rId12" Type="http://schemas.openxmlformats.org/officeDocument/2006/relationships/image" Target="../media/image10.png"/><Relationship Id="rId17" Type="http://schemas.openxmlformats.org/officeDocument/2006/relationships/image" Target="../media/image14.png"/><Relationship Id="rId25" Type="http://schemas.microsoft.com/office/2007/relationships/hdphoto" Target="../media/hdphoto6.wdp"/><Relationship Id="rId2" Type="http://schemas.microsoft.com/office/2007/relationships/hdphoto" Target="../media/hdphoto1.wdp"/><Relationship Id="rId16" Type="http://schemas.openxmlformats.org/officeDocument/2006/relationships/image" Target="../media/image13.png"/><Relationship Id="rId20" Type="http://schemas.openxmlformats.org/officeDocument/2006/relationships/image" Target="../media/image17.png"/><Relationship Id="rId29" Type="http://schemas.microsoft.com/office/2007/relationships/hdphoto" Target="../media/hdphoto8.wdp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9.png"/><Relationship Id="rId24" Type="http://schemas.openxmlformats.org/officeDocument/2006/relationships/image" Target="../media/image19.png"/><Relationship Id="rId5" Type="http://schemas.openxmlformats.org/officeDocument/2006/relationships/image" Target="../media/image3.png"/><Relationship Id="rId15" Type="http://schemas.openxmlformats.org/officeDocument/2006/relationships/image" Target="../media/image12.png"/><Relationship Id="rId23" Type="http://schemas.microsoft.com/office/2007/relationships/hdphoto" Target="../media/hdphoto5.wdp"/><Relationship Id="rId28" Type="http://schemas.openxmlformats.org/officeDocument/2006/relationships/image" Target="../media/image21.png"/><Relationship Id="rId10" Type="http://schemas.openxmlformats.org/officeDocument/2006/relationships/image" Target="../media/image8.png"/><Relationship Id="rId19" Type="http://schemas.openxmlformats.org/officeDocument/2006/relationships/image" Target="../media/image16.png"/><Relationship Id="rId4" Type="http://schemas.microsoft.com/office/2007/relationships/hdphoto" Target="../media/hdphoto2.wdp"/><Relationship Id="rId9" Type="http://schemas.openxmlformats.org/officeDocument/2006/relationships/image" Target="../media/image7.png"/><Relationship Id="rId14" Type="http://schemas.openxmlformats.org/officeDocument/2006/relationships/image" Target="../media/image11.png"/><Relationship Id="rId22" Type="http://schemas.openxmlformats.org/officeDocument/2006/relationships/image" Target="../media/image18.png"/><Relationship Id="rId27" Type="http://schemas.microsoft.com/office/2007/relationships/hdphoto" Target="../media/hdphoto7.wdp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.png"/><Relationship Id="rId13" Type="http://schemas.openxmlformats.org/officeDocument/2006/relationships/image" Target="../media/image33.png"/><Relationship Id="rId18" Type="http://schemas.openxmlformats.org/officeDocument/2006/relationships/image" Target="../media/image38.png"/><Relationship Id="rId3" Type="http://schemas.openxmlformats.org/officeDocument/2006/relationships/image" Target="../media/image23.png"/><Relationship Id="rId21" Type="http://schemas.openxmlformats.org/officeDocument/2006/relationships/image" Target="../media/image41.png"/><Relationship Id="rId7" Type="http://schemas.openxmlformats.org/officeDocument/2006/relationships/image" Target="../media/image27.png"/><Relationship Id="rId12" Type="http://schemas.openxmlformats.org/officeDocument/2006/relationships/image" Target="../media/image32.png"/><Relationship Id="rId17" Type="http://schemas.openxmlformats.org/officeDocument/2006/relationships/image" Target="../media/image37.png"/><Relationship Id="rId2" Type="http://schemas.openxmlformats.org/officeDocument/2006/relationships/image" Target="../media/image22.png"/><Relationship Id="rId16" Type="http://schemas.openxmlformats.org/officeDocument/2006/relationships/image" Target="../media/image36.png"/><Relationship Id="rId20" Type="http://schemas.openxmlformats.org/officeDocument/2006/relationships/image" Target="../media/image40.png"/><Relationship Id="rId1" Type="http://schemas.openxmlformats.org/officeDocument/2006/relationships/image" Target="../media/image3.png"/><Relationship Id="rId6" Type="http://schemas.openxmlformats.org/officeDocument/2006/relationships/image" Target="../media/image26.png"/><Relationship Id="rId11" Type="http://schemas.openxmlformats.org/officeDocument/2006/relationships/image" Target="../media/image31.png"/><Relationship Id="rId5" Type="http://schemas.openxmlformats.org/officeDocument/2006/relationships/image" Target="../media/image25.png"/><Relationship Id="rId15" Type="http://schemas.openxmlformats.org/officeDocument/2006/relationships/image" Target="../media/image35.png"/><Relationship Id="rId10" Type="http://schemas.openxmlformats.org/officeDocument/2006/relationships/image" Target="../media/image30.png"/><Relationship Id="rId19" Type="http://schemas.openxmlformats.org/officeDocument/2006/relationships/image" Target="../media/image39.png"/><Relationship Id="rId4" Type="http://schemas.openxmlformats.org/officeDocument/2006/relationships/image" Target="../media/image24.png"/><Relationship Id="rId9" Type="http://schemas.openxmlformats.org/officeDocument/2006/relationships/image" Target="../media/image29.png"/><Relationship Id="rId14" Type="http://schemas.openxmlformats.org/officeDocument/2006/relationships/image" Target="../media/image3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2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7.emf"/><Relationship Id="rId2" Type="http://schemas.openxmlformats.org/officeDocument/2006/relationships/image" Target="../media/image46.emf"/><Relationship Id="rId1" Type="http://schemas.openxmlformats.org/officeDocument/2006/relationships/image" Target="../media/image45.emf"/><Relationship Id="rId4" Type="http://schemas.openxmlformats.org/officeDocument/2006/relationships/image" Target="../media/image48.e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blad0!A5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blad0!A5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blad0!A5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blad0!A5"/></Relationships>
</file>

<file path=xl/drawings/_rels/drawing19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5.png"/><Relationship Id="rId18" Type="http://schemas.openxmlformats.org/officeDocument/2006/relationships/image" Target="../media/image32.png"/><Relationship Id="rId26" Type="http://schemas.openxmlformats.org/officeDocument/2006/relationships/image" Target="../media/image36.png"/><Relationship Id="rId39" Type="http://schemas.openxmlformats.org/officeDocument/2006/relationships/image" Target="../media/image70.png"/><Relationship Id="rId3" Type="http://schemas.openxmlformats.org/officeDocument/2006/relationships/image" Target="../media/image40.png"/><Relationship Id="rId21" Type="http://schemas.openxmlformats.org/officeDocument/2006/relationships/image" Target="../media/image38.png"/><Relationship Id="rId34" Type="http://schemas.openxmlformats.org/officeDocument/2006/relationships/image" Target="../media/image65.jpeg"/><Relationship Id="rId42" Type="http://schemas.openxmlformats.org/officeDocument/2006/relationships/image" Target="../media/image73.png"/><Relationship Id="rId47" Type="http://schemas.openxmlformats.org/officeDocument/2006/relationships/image" Target="../media/image78.png"/><Relationship Id="rId7" Type="http://schemas.openxmlformats.org/officeDocument/2006/relationships/image" Target="../media/image24.png"/><Relationship Id="rId12" Type="http://schemas.openxmlformats.org/officeDocument/2006/relationships/image" Target="../media/image23.png"/><Relationship Id="rId17" Type="http://schemas.openxmlformats.org/officeDocument/2006/relationships/image" Target="../media/image30.png"/><Relationship Id="rId25" Type="http://schemas.openxmlformats.org/officeDocument/2006/relationships/image" Target="../media/image29.png"/><Relationship Id="rId33" Type="http://schemas.openxmlformats.org/officeDocument/2006/relationships/image" Target="../media/image64.png"/><Relationship Id="rId38" Type="http://schemas.openxmlformats.org/officeDocument/2006/relationships/image" Target="../media/image69.jpeg"/><Relationship Id="rId46" Type="http://schemas.openxmlformats.org/officeDocument/2006/relationships/image" Target="../media/image77.png"/><Relationship Id="rId2" Type="http://schemas.openxmlformats.org/officeDocument/2006/relationships/image" Target="../media/image41.png"/><Relationship Id="rId16" Type="http://schemas.openxmlformats.org/officeDocument/2006/relationships/image" Target="../media/image28.png"/><Relationship Id="rId20" Type="http://schemas.openxmlformats.org/officeDocument/2006/relationships/image" Target="../media/image37.png"/><Relationship Id="rId29" Type="http://schemas.openxmlformats.org/officeDocument/2006/relationships/image" Target="../media/image60.jpeg"/><Relationship Id="rId41" Type="http://schemas.openxmlformats.org/officeDocument/2006/relationships/image" Target="../media/image72.png"/><Relationship Id="rId1" Type="http://schemas.openxmlformats.org/officeDocument/2006/relationships/hyperlink" Target="#blad0!A5"/><Relationship Id="rId6" Type="http://schemas.openxmlformats.org/officeDocument/2006/relationships/image" Target="../media/image3.png"/><Relationship Id="rId11" Type="http://schemas.openxmlformats.org/officeDocument/2006/relationships/image" Target="../media/image27.png"/><Relationship Id="rId24" Type="http://schemas.openxmlformats.org/officeDocument/2006/relationships/image" Target="../media/image58.png"/><Relationship Id="rId32" Type="http://schemas.openxmlformats.org/officeDocument/2006/relationships/image" Target="../media/image63.jpeg"/><Relationship Id="rId37" Type="http://schemas.openxmlformats.org/officeDocument/2006/relationships/image" Target="../media/image68.jpeg"/><Relationship Id="rId40" Type="http://schemas.openxmlformats.org/officeDocument/2006/relationships/image" Target="../media/image71.png"/><Relationship Id="rId45" Type="http://schemas.openxmlformats.org/officeDocument/2006/relationships/image" Target="../media/image76.png"/><Relationship Id="rId5" Type="http://schemas.openxmlformats.org/officeDocument/2006/relationships/image" Target="../media/image25.png"/><Relationship Id="rId15" Type="http://schemas.openxmlformats.org/officeDocument/2006/relationships/image" Target="../media/image56.png"/><Relationship Id="rId23" Type="http://schemas.openxmlformats.org/officeDocument/2006/relationships/image" Target="../media/image57.png"/><Relationship Id="rId28" Type="http://schemas.openxmlformats.org/officeDocument/2006/relationships/image" Target="../media/image59.png"/><Relationship Id="rId36" Type="http://schemas.openxmlformats.org/officeDocument/2006/relationships/image" Target="../media/image67.jpeg"/><Relationship Id="rId49" Type="http://schemas.openxmlformats.org/officeDocument/2006/relationships/image" Target="../media/image80.png"/><Relationship Id="rId10" Type="http://schemas.openxmlformats.org/officeDocument/2006/relationships/image" Target="../media/image39.png"/><Relationship Id="rId19" Type="http://schemas.openxmlformats.org/officeDocument/2006/relationships/image" Target="../media/image34.png"/><Relationship Id="rId31" Type="http://schemas.openxmlformats.org/officeDocument/2006/relationships/image" Target="../media/image62.jpeg"/><Relationship Id="rId44" Type="http://schemas.openxmlformats.org/officeDocument/2006/relationships/image" Target="../media/image75.png"/><Relationship Id="rId4" Type="http://schemas.openxmlformats.org/officeDocument/2006/relationships/image" Target="../media/image54.png"/><Relationship Id="rId9" Type="http://schemas.openxmlformats.org/officeDocument/2006/relationships/image" Target="../media/image33.png"/><Relationship Id="rId14" Type="http://schemas.openxmlformats.org/officeDocument/2006/relationships/image" Target="../media/image31.png"/><Relationship Id="rId22" Type="http://schemas.openxmlformats.org/officeDocument/2006/relationships/image" Target="../media/image26.png"/><Relationship Id="rId27" Type="http://schemas.openxmlformats.org/officeDocument/2006/relationships/image" Target="../media/image35.png"/><Relationship Id="rId30" Type="http://schemas.openxmlformats.org/officeDocument/2006/relationships/image" Target="../media/image61.jpeg"/><Relationship Id="rId35" Type="http://schemas.openxmlformats.org/officeDocument/2006/relationships/image" Target="../media/image66.jpeg"/><Relationship Id="rId43" Type="http://schemas.openxmlformats.org/officeDocument/2006/relationships/image" Target="../media/image74.png"/><Relationship Id="rId48" Type="http://schemas.openxmlformats.org/officeDocument/2006/relationships/image" Target="../media/image79.png"/><Relationship Id="rId8" Type="http://schemas.openxmlformats.org/officeDocument/2006/relationships/image" Target="../media/image2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3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0.png"/><Relationship Id="rId2" Type="http://schemas.openxmlformats.org/officeDocument/2006/relationships/image" Target="../media/image49.png"/><Relationship Id="rId1" Type="http://schemas.openxmlformats.org/officeDocument/2006/relationships/image" Target="../media/image44.emf"/><Relationship Id="rId6" Type="http://schemas.openxmlformats.org/officeDocument/2006/relationships/image" Target="../media/image53.emf"/><Relationship Id="rId5" Type="http://schemas.openxmlformats.org/officeDocument/2006/relationships/image" Target="../media/image52.emf"/><Relationship Id="rId4" Type="http://schemas.openxmlformats.org/officeDocument/2006/relationships/image" Target="../media/image5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279238</xdr:colOff>
      <xdr:row>12</xdr:row>
      <xdr:rowOff>65029</xdr:rowOff>
    </xdr:from>
    <xdr:to>
      <xdr:col>11</xdr:col>
      <xdr:colOff>1534</xdr:colOff>
      <xdr:row>12</xdr:row>
      <xdr:rowOff>288839</xdr:rowOff>
    </xdr:to>
    <xdr:pic macro="[0]!GP_19">
      <xdr:nvPicPr>
        <xdr:cNvPr id="73" name="Afbeelding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-20000" contrast="-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4908" y="3761540"/>
          <a:ext cx="330275" cy="223810"/>
        </a:xfrm>
        <a:prstGeom prst="rect">
          <a:avLst/>
        </a:prstGeom>
      </xdr:spPr>
    </xdr:pic>
    <xdr:clientData/>
  </xdr:twoCellAnchor>
  <xdr:twoCellAnchor>
    <xdr:from>
      <xdr:col>10</xdr:col>
      <xdr:colOff>279670</xdr:colOff>
      <xdr:row>11</xdr:row>
      <xdr:rowOff>60798</xdr:rowOff>
    </xdr:from>
    <xdr:to>
      <xdr:col>11</xdr:col>
      <xdr:colOff>6531</xdr:colOff>
      <xdr:row>11</xdr:row>
      <xdr:rowOff>284636</xdr:rowOff>
    </xdr:to>
    <xdr:pic macro="[0]!GP_18">
      <xdr:nvPicPr>
        <xdr:cNvPr id="28" name="Afbeelding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-20000" contrast="-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5340" y="3424947"/>
          <a:ext cx="334840" cy="223838"/>
        </a:xfrm>
        <a:prstGeom prst="rect">
          <a:avLst/>
        </a:prstGeom>
      </xdr:spPr>
    </xdr:pic>
    <xdr:clientData/>
  </xdr:twoCellAnchor>
  <xdr:twoCellAnchor editAs="absolute">
    <xdr:from>
      <xdr:col>1</xdr:col>
      <xdr:colOff>114300</xdr:colOff>
      <xdr:row>1</xdr:row>
      <xdr:rowOff>19051</xdr:rowOff>
    </xdr:from>
    <xdr:to>
      <xdr:col>11</xdr:col>
      <xdr:colOff>504825</xdr:colOff>
      <xdr:row>3</xdr:row>
      <xdr:rowOff>66675</xdr:rowOff>
    </xdr:to>
    <xdr:sp macro="[0]!klikniethier" textlink="">
      <xdr:nvSpPr>
        <xdr:cNvPr id="24" name="Afgeronde rechthoek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723900" y="323851"/>
          <a:ext cx="6781800" cy="657224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3200" b="0">
              <a:solidFill>
                <a:schemeClr val="bg1"/>
              </a:solidFill>
              <a:latin typeface="+mn-lt"/>
            </a:rPr>
            <a:t>F1 - 2019</a:t>
          </a:r>
        </a:p>
      </xdr:txBody>
    </xdr:sp>
    <xdr:clientData/>
  </xdr:twoCellAnchor>
  <xdr:twoCellAnchor editAs="absolute">
    <xdr:from>
      <xdr:col>2</xdr:col>
      <xdr:colOff>6751</xdr:colOff>
      <xdr:row>5</xdr:row>
      <xdr:rowOff>62224</xdr:rowOff>
    </xdr:from>
    <xdr:to>
      <xdr:col>2</xdr:col>
      <xdr:colOff>340126</xdr:colOff>
      <xdr:row>5</xdr:row>
      <xdr:rowOff>286062</xdr:rowOff>
    </xdr:to>
    <xdr:pic macro="[0]!GP_1">
      <xdr:nvPicPr>
        <xdr:cNvPr id="6" name="Afbeelding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3020" y="1600878"/>
          <a:ext cx="333375" cy="223838"/>
        </a:xfrm>
        <a:prstGeom prst="rect">
          <a:avLst/>
        </a:prstGeom>
      </xdr:spPr>
    </xdr:pic>
    <xdr:clientData/>
  </xdr:twoCellAnchor>
  <xdr:twoCellAnchor editAs="absolute">
    <xdr:from>
      <xdr:col>2</xdr:col>
      <xdr:colOff>7455</xdr:colOff>
      <xdr:row>6</xdr:row>
      <xdr:rowOff>61431</xdr:rowOff>
    </xdr:from>
    <xdr:to>
      <xdr:col>2</xdr:col>
      <xdr:colOff>340830</xdr:colOff>
      <xdr:row>6</xdr:row>
      <xdr:rowOff>289245</xdr:rowOff>
    </xdr:to>
    <xdr:pic macro="[0]!GP_2">
      <xdr:nvPicPr>
        <xdr:cNvPr id="8" name="Afbeelding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3724" y="1937123"/>
          <a:ext cx="333375" cy="227814"/>
        </a:xfrm>
        <a:prstGeom prst="rect">
          <a:avLst/>
        </a:prstGeom>
      </xdr:spPr>
    </xdr:pic>
    <xdr:clientData/>
  </xdr:twoCellAnchor>
  <xdr:twoCellAnchor editAs="absolute">
    <xdr:from>
      <xdr:col>2</xdr:col>
      <xdr:colOff>6793</xdr:colOff>
      <xdr:row>7</xdr:row>
      <xdr:rowOff>64745</xdr:rowOff>
    </xdr:from>
    <xdr:to>
      <xdr:col>2</xdr:col>
      <xdr:colOff>340168</xdr:colOff>
      <xdr:row>7</xdr:row>
      <xdr:rowOff>288583</xdr:rowOff>
    </xdr:to>
    <xdr:pic macro="[0]!GP_3">
      <xdr:nvPicPr>
        <xdr:cNvPr id="10" name="Afbeelding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3062" y="2277476"/>
          <a:ext cx="333375" cy="223838"/>
        </a:xfrm>
        <a:prstGeom prst="rect">
          <a:avLst/>
        </a:prstGeom>
      </xdr:spPr>
    </xdr:pic>
    <xdr:clientData/>
  </xdr:twoCellAnchor>
  <xdr:twoCellAnchor editAs="absolute">
    <xdr:from>
      <xdr:col>2</xdr:col>
      <xdr:colOff>7616</xdr:colOff>
      <xdr:row>8</xdr:row>
      <xdr:rowOff>63186</xdr:rowOff>
    </xdr:from>
    <xdr:to>
      <xdr:col>2</xdr:col>
      <xdr:colOff>340991</xdr:colOff>
      <xdr:row>8</xdr:row>
      <xdr:rowOff>287024</xdr:rowOff>
    </xdr:to>
    <xdr:pic macro="[0]!GP_4">
      <xdr:nvPicPr>
        <xdr:cNvPr id="12" name="Afbeelding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3885" y="2612955"/>
          <a:ext cx="333375" cy="223838"/>
        </a:xfrm>
        <a:prstGeom prst="rect">
          <a:avLst/>
        </a:prstGeom>
      </xdr:spPr>
    </xdr:pic>
    <xdr:clientData/>
  </xdr:twoCellAnchor>
  <xdr:twoCellAnchor editAs="absolute">
    <xdr:from>
      <xdr:col>2</xdr:col>
      <xdr:colOff>8157</xdr:colOff>
      <xdr:row>9</xdr:row>
      <xdr:rowOff>62912</xdr:rowOff>
    </xdr:from>
    <xdr:to>
      <xdr:col>2</xdr:col>
      <xdr:colOff>341532</xdr:colOff>
      <xdr:row>9</xdr:row>
      <xdr:rowOff>286750</xdr:rowOff>
    </xdr:to>
    <xdr:pic macro="[0]!GP_5">
      <xdr:nvPicPr>
        <xdr:cNvPr id="14" name="Afbeelding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426" y="2949720"/>
          <a:ext cx="333375" cy="223838"/>
        </a:xfrm>
        <a:prstGeom prst="rect">
          <a:avLst/>
        </a:prstGeom>
      </xdr:spPr>
    </xdr:pic>
    <xdr:clientData/>
  </xdr:twoCellAnchor>
  <xdr:twoCellAnchor editAs="absolute">
    <xdr:from>
      <xdr:col>2</xdr:col>
      <xdr:colOff>7888</xdr:colOff>
      <xdr:row>10</xdr:row>
      <xdr:rowOff>62505</xdr:rowOff>
    </xdr:from>
    <xdr:to>
      <xdr:col>2</xdr:col>
      <xdr:colOff>341263</xdr:colOff>
      <xdr:row>10</xdr:row>
      <xdr:rowOff>287985</xdr:rowOff>
    </xdr:to>
    <xdr:pic macro="[0]!GP_6">
      <xdr:nvPicPr>
        <xdr:cNvPr id="16" name="Afbeelding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157" y="3286351"/>
          <a:ext cx="333375" cy="225480"/>
        </a:xfrm>
        <a:prstGeom prst="rect">
          <a:avLst/>
        </a:prstGeom>
      </xdr:spPr>
    </xdr:pic>
    <xdr:clientData/>
  </xdr:twoCellAnchor>
  <xdr:twoCellAnchor editAs="absolute">
    <xdr:from>
      <xdr:col>2</xdr:col>
      <xdr:colOff>4342</xdr:colOff>
      <xdr:row>11</xdr:row>
      <xdr:rowOff>62243</xdr:rowOff>
    </xdr:from>
    <xdr:to>
      <xdr:col>2</xdr:col>
      <xdr:colOff>337717</xdr:colOff>
      <xdr:row>11</xdr:row>
      <xdr:rowOff>287724</xdr:rowOff>
    </xdr:to>
    <xdr:pic macro="[0]!GP_7">
      <xdr:nvPicPr>
        <xdr:cNvPr id="18" name="Afbeelding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0611" y="3623128"/>
          <a:ext cx="333375" cy="225481"/>
        </a:xfrm>
        <a:prstGeom prst="rect">
          <a:avLst/>
        </a:prstGeom>
      </xdr:spPr>
    </xdr:pic>
    <xdr:clientData/>
  </xdr:twoCellAnchor>
  <xdr:twoCellAnchor editAs="absolute">
    <xdr:from>
      <xdr:col>2</xdr:col>
      <xdr:colOff>6044</xdr:colOff>
      <xdr:row>12</xdr:row>
      <xdr:rowOff>63229</xdr:rowOff>
    </xdr:from>
    <xdr:to>
      <xdr:col>2</xdr:col>
      <xdr:colOff>340733</xdr:colOff>
      <xdr:row>12</xdr:row>
      <xdr:rowOff>288709</xdr:rowOff>
    </xdr:to>
    <xdr:pic macro="[0]!GP_8">
      <xdr:nvPicPr>
        <xdr:cNvPr id="20" name="Afbeelding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BEBA8EAE-BF5A-486C-A8C5-ECC9F3942E4B}">
              <a14:imgProps xmlns:a14="http://schemas.microsoft.com/office/drawing/2010/main">
                <a14:imgLayer r:embed="rId13">
                  <a14:imgEffect>
                    <a14:brightnessContrast bright="1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313" y="3961152"/>
          <a:ext cx="334689" cy="225480"/>
        </a:xfrm>
        <a:prstGeom prst="rect">
          <a:avLst/>
        </a:prstGeom>
      </xdr:spPr>
    </xdr:pic>
    <xdr:clientData/>
  </xdr:twoCellAnchor>
  <xdr:twoCellAnchor editAs="absolute">
    <xdr:from>
      <xdr:col>2</xdr:col>
      <xdr:colOff>412</xdr:colOff>
      <xdr:row>13</xdr:row>
      <xdr:rowOff>63103</xdr:rowOff>
    </xdr:from>
    <xdr:to>
      <xdr:col>2</xdr:col>
      <xdr:colOff>331788</xdr:colOff>
      <xdr:row>13</xdr:row>
      <xdr:rowOff>286941</xdr:rowOff>
    </xdr:to>
    <xdr:pic macro="[0]!GP_9">
      <xdr:nvPicPr>
        <xdr:cNvPr id="22" name="Afbeelding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681" y="4298065"/>
          <a:ext cx="331376" cy="223838"/>
        </a:xfrm>
        <a:prstGeom prst="rect">
          <a:avLst/>
        </a:prstGeom>
      </xdr:spPr>
    </xdr:pic>
    <xdr:clientData/>
  </xdr:twoCellAnchor>
  <xdr:twoCellAnchor editAs="absolute">
    <xdr:from>
      <xdr:col>2</xdr:col>
      <xdr:colOff>8074</xdr:colOff>
      <xdr:row>14</xdr:row>
      <xdr:rowOff>60624</xdr:rowOff>
    </xdr:from>
    <xdr:to>
      <xdr:col>2</xdr:col>
      <xdr:colOff>342763</xdr:colOff>
      <xdr:row>14</xdr:row>
      <xdr:rowOff>284462</xdr:rowOff>
    </xdr:to>
    <xdr:pic macro="[0]!GP_10">
      <xdr:nvPicPr>
        <xdr:cNvPr id="30" name="Afbeelding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343" y="4632624"/>
          <a:ext cx="334689" cy="223838"/>
        </a:xfrm>
        <a:prstGeom prst="rect">
          <a:avLst/>
        </a:prstGeom>
      </xdr:spPr>
    </xdr:pic>
    <xdr:clientData/>
  </xdr:twoCellAnchor>
  <xdr:twoCellAnchor editAs="absolute">
    <xdr:from>
      <xdr:col>2</xdr:col>
      <xdr:colOff>3410</xdr:colOff>
      <xdr:row>15</xdr:row>
      <xdr:rowOff>63180</xdr:rowOff>
    </xdr:from>
    <xdr:to>
      <xdr:col>2</xdr:col>
      <xdr:colOff>333472</xdr:colOff>
      <xdr:row>15</xdr:row>
      <xdr:rowOff>287018</xdr:rowOff>
    </xdr:to>
    <xdr:pic macro="[0]!GP_11">
      <xdr:nvPicPr>
        <xdr:cNvPr id="47" name="Afbeelding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679" y="4972218"/>
          <a:ext cx="330062" cy="223838"/>
        </a:xfrm>
        <a:prstGeom prst="rect">
          <a:avLst/>
        </a:prstGeom>
      </xdr:spPr>
    </xdr:pic>
    <xdr:clientData/>
  </xdr:twoCellAnchor>
  <xdr:twoCellAnchor>
    <xdr:from>
      <xdr:col>10</xdr:col>
      <xdr:colOff>282422</xdr:colOff>
      <xdr:row>5</xdr:row>
      <xdr:rowOff>62954</xdr:rowOff>
    </xdr:from>
    <xdr:to>
      <xdr:col>11</xdr:col>
      <xdr:colOff>4759</xdr:colOff>
      <xdr:row>5</xdr:row>
      <xdr:rowOff>286792</xdr:rowOff>
    </xdr:to>
    <xdr:pic macro="[0]!GP_12">
      <xdr:nvPicPr>
        <xdr:cNvPr id="49" name="Afbeelding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3768" y="1601608"/>
          <a:ext cx="330472" cy="223838"/>
        </a:xfrm>
        <a:prstGeom prst="rect">
          <a:avLst/>
        </a:prstGeom>
      </xdr:spPr>
    </xdr:pic>
    <xdr:clientData/>
  </xdr:twoCellAnchor>
  <xdr:twoCellAnchor>
    <xdr:from>
      <xdr:col>10</xdr:col>
      <xdr:colOff>277482</xdr:colOff>
      <xdr:row>6</xdr:row>
      <xdr:rowOff>61642</xdr:rowOff>
    </xdr:from>
    <xdr:to>
      <xdr:col>11</xdr:col>
      <xdr:colOff>1133</xdr:colOff>
      <xdr:row>6</xdr:row>
      <xdr:rowOff>282852</xdr:rowOff>
    </xdr:to>
    <xdr:pic macro="[0]!GP_13">
      <xdr:nvPicPr>
        <xdr:cNvPr id="51" name="Afbeelding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8828" y="1937334"/>
          <a:ext cx="331786" cy="221210"/>
        </a:xfrm>
        <a:prstGeom prst="rect">
          <a:avLst/>
        </a:prstGeom>
      </xdr:spPr>
    </xdr:pic>
    <xdr:clientData/>
  </xdr:twoCellAnchor>
  <xdr:twoCellAnchor>
    <xdr:from>
      <xdr:col>10</xdr:col>
      <xdr:colOff>279147</xdr:colOff>
      <xdr:row>7</xdr:row>
      <xdr:rowOff>63994</xdr:rowOff>
    </xdr:from>
    <xdr:to>
      <xdr:col>11</xdr:col>
      <xdr:colOff>1484</xdr:colOff>
      <xdr:row>7</xdr:row>
      <xdr:rowOff>287832</xdr:rowOff>
    </xdr:to>
    <xdr:pic macro="[0]!GP_14">
      <xdr:nvPicPr>
        <xdr:cNvPr id="53" name="Afbeelding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0493" y="2276725"/>
          <a:ext cx="330472" cy="223838"/>
        </a:xfrm>
        <a:prstGeom prst="rect">
          <a:avLst/>
        </a:prstGeom>
      </xdr:spPr>
    </xdr:pic>
    <xdr:clientData/>
  </xdr:twoCellAnchor>
  <xdr:twoCellAnchor>
    <xdr:from>
      <xdr:col>10</xdr:col>
      <xdr:colOff>275750</xdr:colOff>
      <xdr:row>8</xdr:row>
      <xdr:rowOff>63789</xdr:rowOff>
    </xdr:from>
    <xdr:to>
      <xdr:col>11</xdr:col>
      <xdr:colOff>2304</xdr:colOff>
      <xdr:row>8</xdr:row>
      <xdr:rowOff>287627</xdr:rowOff>
    </xdr:to>
    <xdr:pic macro="[0]!GP_15">
      <xdr:nvPicPr>
        <xdr:cNvPr id="55" name="Afbeelding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BEBA8EAE-BF5A-486C-A8C5-ECC9F3942E4B}">
              <a14:imgProps xmlns:a14="http://schemas.microsoft.com/office/drawing/2010/main">
                <a14:imgLayer r:embed="rId21">
                  <a14:imgEffect>
                    <a14:brightnessContrast bright="-20000" contrast="-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7096" y="2613558"/>
          <a:ext cx="334689" cy="223838"/>
        </a:xfrm>
        <a:prstGeom prst="rect">
          <a:avLst/>
        </a:prstGeom>
      </xdr:spPr>
    </xdr:pic>
    <xdr:clientData/>
  </xdr:twoCellAnchor>
  <xdr:twoCellAnchor>
    <xdr:from>
      <xdr:col>10</xdr:col>
      <xdr:colOff>278048</xdr:colOff>
      <xdr:row>9</xdr:row>
      <xdr:rowOff>62324</xdr:rowOff>
    </xdr:from>
    <xdr:to>
      <xdr:col>11</xdr:col>
      <xdr:colOff>1699</xdr:colOff>
      <xdr:row>9</xdr:row>
      <xdr:rowOff>287804</xdr:rowOff>
    </xdr:to>
    <xdr:pic macro="[0]!GP_16">
      <xdr:nvPicPr>
        <xdr:cNvPr id="57" name="Afbeelding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BEBA8EAE-BF5A-486C-A8C5-ECC9F3942E4B}">
              <a14:imgProps xmlns:a14="http://schemas.microsoft.com/office/drawing/2010/main">
                <a14:imgLayer r:embed="rId23">
                  <a14:imgEffect>
                    <a14:brightnessContrast bright="-20000" contrast="-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9394" y="2949132"/>
          <a:ext cx="331786" cy="225480"/>
        </a:xfrm>
        <a:prstGeom prst="rect">
          <a:avLst/>
        </a:prstGeom>
      </xdr:spPr>
    </xdr:pic>
    <xdr:clientData/>
  </xdr:twoCellAnchor>
  <xdr:twoCellAnchor>
    <xdr:from>
      <xdr:col>10</xdr:col>
      <xdr:colOff>276539</xdr:colOff>
      <xdr:row>10</xdr:row>
      <xdr:rowOff>64544</xdr:rowOff>
    </xdr:from>
    <xdr:to>
      <xdr:col>11</xdr:col>
      <xdr:colOff>1779</xdr:colOff>
      <xdr:row>10</xdr:row>
      <xdr:rowOff>289280</xdr:rowOff>
    </xdr:to>
    <xdr:pic macro="[0]!GP_17">
      <xdr:nvPicPr>
        <xdr:cNvPr id="59" name="Afbeelding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BEBA8EAE-BF5A-486C-A8C5-ECC9F3942E4B}">
              <a14:imgProps xmlns:a14="http://schemas.microsoft.com/office/drawing/2010/main">
                <a14:imgLayer r:embed="rId25">
                  <a14:imgEffect>
                    <a14:brightnessContrast bright="-20000" contrast="-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7885" y="3288390"/>
          <a:ext cx="333375" cy="224736"/>
        </a:xfrm>
        <a:prstGeom prst="rect">
          <a:avLst/>
        </a:prstGeom>
      </xdr:spPr>
    </xdr:pic>
    <xdr:clientData/>
  </xdr:twoCellAnchor>
  <xdr:twoCellAnchor>
    <xdr:from>
      <xdr:col>10</xdr:col>
      <xdr:colOff>279244</xdr:colOff>
      <xdr:row>13</xdr:row>
      <xdr:rowOff>63328</xdr:rowOff>
    </xdr:from>
    <xdr:to>
      <xdr:col>11</xdr:col>
      <xdr:colOff>1581</xdr:colOff>
      <xdr:row>13</xdr:row>
      <xdr:rowOff>287166</xdr:rowOff>
    </xdr:to>
    <xdr:pic macro="[0]!GP_20">
      <xdr:nvPicPr>
        <xdr:cNvPr id="65" name="Afbeelding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BEBA8EAE-BF5A-486C-A8C5-ECC9F3942E4B}">
              <a14:imgProps xmlns:a14="http://schemas.microsoft.com/office/drawing/2010/main">
                <a14:imgLayer r:embed="rId27">
                  <a14:imgEffect>
                    <a14:brightnessContrast bright="-20000" contrast="-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0590" y="4298290"/>
          <a:ext cx="330472" cy="223838"/>
        </a:xfrm>
        <a:prstGeom prst="rect">
          <a:avLst/>
        </a:prstGeom>
      </xdr:spPr>
    </xdr:pic>
    <xdr:clientData/>
  </xdr:twoCellAnchor>
  <xdr:twoCellAnchor>
    <xdr:from>
      <xdr:col>10</xdr:col>
      <xdr:colOff>277504</xdr:colOff>
      <xdr:row>14</xdr:row>
      <xdr:rowOff>62380</xdr:rowOff>
    </xdr:from>
    <xdr:to>
      <xdr:col>11</xdr:col>
      <xdr:colOff>2744</xdr:colOff>
      <xdr:row>14</xdr:row>
      <xdr:rowOff>286218</xdr:rowOff>
    </xdr:to>
    <xdr:pic macro="[0]!GP_21">
      <xdr:nvPicPr>
        <xdr:cNvPr id="67" name="Afbeelding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BEBA8EAE-BF5A-486C-A8C5-ECC9F3942E4B}">
              <a14:imgProps xmlns:a14="http://schemas.microsoft.com/office/drawing/2010/main">
                <a14:imgLayer r:embed="rId29">
                  <a14:imgEffect>
                    <a14:brightnessContrast bright="-20000" contrast="-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8850" y="4634380"/>
          <a:ext cx="333375" cy="223838"/>
        </a:xfrm>
        <a:prstGeom prst="rect">
          <a:avLst/>
        </a:prstGeom>
      </xdr:spPr>
    </xdr:pic>
    <xdr:clientData/>
  </xdr:twoCellAnchor>
  <xdr:twoCellAnchor editAs="absolute">
    <xdr:from>
      <xdr:col>1</xdr:col>
      <xdr:colOff>115963</xdr:colOff>
      <xdr:row>20</xdr:row>
      <xdr:rowOff>22823</xdr:rowOff>
    </xdr:from>
    <xdr:to>
      <xdr:col>3</xdr:col>
      <xdr:colOff>173113</xdr:colOff>
      <xdr:row>23</xdr:row>
      <xdr:rowOff>12087</xdr:rowOff>
    </xdr:to>
    <xdr:sp macro="[0]!kalender" textlink="">
      <xdr:nvSpPr>
        <xdr:cNvPr id="74" name="Afgeronde rechthoek 2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728876" y="5789543"/>
          <a:ext cx="1282976" cy="46838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200" b="0">
              <a:solidFill>
                <a:schemeClr val="bg1"/>
              </a:solidFill>
              <a:latin typeface="+mn-lt"/>
            </a:rPr>
            <a:t>kalender</a:t>
          </a:r>
        </a:p>
      </xdr:txBody>
    </xdr:sp>
    <xdr:clientData/>
  </xdr:twoCellAnchor>
  <xdr:twoCellAnchor editAs="absolute">
    <xdr:from>
      <xdr:col>4</xdr:col>
      <xdr:colOff>124245</xdr:colOff>
      <xdr:row>20</xdr:row>
      <xdr:rowOff>22823</xdr:rowOff>
    </xdr:from>
    <xdr:to>
      <xdr:col>6</xdr:col>
      <xdr:colOff>181395</xdr:colOff>
      <xdr:row>23</xdr:row>
      <xdr:rowOff>12087</xdr:rowOff>
    </xdr:to>
    <xdr:sp macro="[0]!stand_rijder" textlink="">
      <xdr:nvSpPr>
        <xdr:cNvPr id="76" name="Afgeronde rechthoek 23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2575897" y="5789543"/>
          <a:ext cx="1282976" cy="46838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200" b="0">
              <a:solidFill>
                <a:schemeClr val="bg1"/>
              </a:solidFill>
              <a:latin typeface="+mn-lt"/>
            </a:rPr>
            <a:t>stand</a:t>
          </a:r>
          <a:r>
            <a:rPr lang="nl-NL" sz="1200" b="0" baseline="0">
              <a:solidFill>
                <a:schemeClr val="bg1"/>
              </a:solidFill>
              <a:latin typeface="+mn-lt"/>
            </a:rPr>
            <a:t> coureurs</a:t>
          </a:r>
          <a:endParaRPr lang="nl-NL" sz="1200" b="0">
            <a:solidFill>
              <a:schemeClr val="bg1"/>
            </a:solidFill>
            <a:latin typeface="+mn-lt"/>
          </a:endParaRPr>
        </a:p>
      </xdr:txBody>
    </xdr:sp>
    <xdr:clientData/>
  </xdr:twoCellAnchor>
  <xdr:twoCellAnchor editAs="absolute">
    <xdr:from>
      <xdr:col>6</xdr:col>
      <xdr:colOff>733845</xdr:colOff>
      <xdr:row>20</xdr:row>
      <xdr:rowOff>22823</xdr:rowOff>
    </xdr:from>
    <xdr:to>
      <xdr:col>8</xdr:col>
      <xdr:colOff>495720</xdr:colOff>
      <xdr:row>23</xdr:row>
      <xdr:rowOff>12087</xdr:rowOff>
    </xdr:to>
    <xdr:sp macro="[0]!stand_team" textlink="">
      <xdr:nvSpPr>
        <xdr:cNvPr id="77" name="Afgeronde rechthoek 2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4414636" y="5789543"/>
          <a:ext cx="1282976" cy="46838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200" b="0">
              <a:solidFill>
                <a:schemeClr val="bg1"/>
              </a:solidFill>
              <a:latin typeface="+mn-lt"/>
            </a:rPr>
            <a:t>stand teams</a:t>
          </a:r>
        </a:p>
      </xdr:txBody>
    </xdr:sp>
    <xdr:clientData/>
  </xdr:twoCellAnchor>
  <xdr:twoCellAnchor editAs="absolute">
    <xdr:from>
      <xdr:col>9</xdr:col>
      <xdr:colOff>444268</xdr:colOff>
      <xdr:row>20</xdr:row>
      <xdr:rowOff>22823</xdr:rowOff>
    </xdr:from>
    <xdr:to>
      <xdr:col>11</xdr:col>
      <xdr:colOff>501418</xdr:colOff>
      <xdr:row>23</xdr:row>
      <xdr:rowOff>12315</xdr:rowOff>
    </xdr:to>
    <xdr:sp macro="[0]!Module4.Teaminfo" textlink="">
      <xdr:nvSpPr>
        <xdr:cNvPr id="78" name="Afgeronde rechthoek 23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232870" y="5487190"/>
          <a:ext cx="1278082" cy="463336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200" b="0">
              <a:solidFill>
                <a:schemeClr val="bg1"/>
              </a:solidFill>
              <a:latin typeface="+mn-lt"/>
            </a:rPr>
            <a:t>teams</a:t>
          </a:r>
        </a:p>
      </xdr:txBody>
    </xdr:sp>
    <xdr:clientData/>
  </xdr:twoCellAnchor>
  <xdr:twoCellAnchor editAs="absolute">
    <xdr:from>
      <xdr:col>6</xdr:col>
      <xdr:colOff>735396</xdr:colOff>
      <xdr:row>23</xdr:row>
      <xdr:rowOff>73389</xdr:rowOff>
    </xdr:from>
    <xdr:to>
      <xdr:col>8</xdr:col>
      <xdr:colOff>495366</xdr:colOff>
      <xdr:row>26</xdr:row>
      <xdr:rowOff>62654</xdr:rowOff>
    </xdr:to>
    <xdr:sp macro="[0]!start_pos_team" textlink="">
      <xdr:nvSpPr>
        <xdr:cNvPr id="29" name="Afgeronde rechthoek 2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571416" y="6002121"/>
          <a:ext cx="1336009" cy="513372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050" b="0">
              <a:solidFill>
                <a:schemeClr val="bg1"/>
              </a:solidFill>
              <a:latin typeface="+mn-lt"/>
            </a:rPr>
            <a:t>startpos. per team (gem.)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304799</xdr:colOff>
      <xdr:row>1</xdr:row>
      <xdr:rowOff>115546</xdr:rowOff>
    </xdr:from>
    <xdr:to>
      <xdr:col>2</xdr:col>
      <xdr:colOff>117974</xdr:colOff>
      <xdr:row>3</xdr:row>
      <xdr:rowOff>30796</xdr:rowOff>
    </xdr:to>
    <xdr:sp macro="[0]!startpagina" textlink="">
      <xdr:nvSpPr>
        <xdr:cNvPr id="25" name="Afgeronde rechthoek 24">
          <a:extLst>
            <a:ext uri="{FF2B5EF4-FFF2-40B4-BE49-F238E27FC236}">
              <a16:creationId xmlns:a16="http://schemas.microsoft.com/office/drawing/2014/main" id="{00000000-0008-0000-0100-000019000000}"/>
            </a:ext>
            <a:ext uri="{147F2762-F138-4A5C-976F-8EAC2B608ADB}">
              <a16:predDERef xmlns:a16="http://schemas.microsoft.com/office/drawing/2014/main" pred="{00000000-0008-0000-0100-000004000000}"/>
            </a:ext>
          </a:extLst>
        </xdr:cNvPr>
        <xdr:cNvSpPr/>
      </xdr:nvSpPr>
      <xdr:spPr>
        <a:xfrm>
          <a:off x="304799" y="301813"/>
          <a:ext cx="1159375" cy="287783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>
              <a:solidFill>
                <a:schemeClr val="bg1"/>
              </a:solidFill>
            </a:rPr>
            <a:t>startpagina</a:t>
          </a:r>
        </a:p>
      </xdr:txBody>
    </xdr:sp>
    <xdr:clientData/>
  </xdr:twoCellAnchor>
  <xdr:twoCellAnchor editAs="oneCell">
    <xdr:from>
      <xdr:col>18</xdr:col>
      <xdr:colOff>19947</xdr:colOff>
      <xdr:row>8</xdr:row>
      <xdr:rowOff>97932</xdr:rowOff>
    </xdr:from>
    <xdr:to>
      <xdr:col>18</xdr:col>
      <xdr:colOff>319985</xdr:colOff>
      <xdr:row>8</xdr:row>
      <xdr:rowOff>299386</xdr:rowOff>
    </xdr:to>
    <xdr:pic macro="[0]!GP_1">
      <xdr:nvPicPr>
        <xdr:cNvPr id="26" name="Afbeelding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0361" y="1654589"/>
          <a:ext cx="300038" cy="201454"/>
        </a:xfrm>
        <a:prstGeom prst="rect">
          <a:avLst/>
        </a:prstGeom>
      </xdr:spPr>
    </xdr:pic>
    <xdr:clientData/>
  </xdr:twoCellAnchor>
  <xdr:twoCellAnchor editAs="oneCell">
    <xdr:from>
      <xdr:col>32</xdr:col>
      <xdr:colOff>15175</xdr:colOff>
      <xdr:row>8</xdr:row>
      <xdr:rowOff>91439</xdr:rowOff>
    </xdr:from>
    <xdr:to>
      <xdr:col>32</xdr:col>
      <xdr:colOff>316375</xdr:colOff>
      <xdr:row>8</xdr:row>
      <xdr:rowOff>292893</xdr:rowOff>
    </xdr:to>
    <xdr:pic macro="[0]!GP_2">
      <xdr:nvPicPr>
        <xdr:cNvPr id="27" name="Afbeelding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3250" y="1644014"/>
          <a:ext cx="301200" cy="201454"/>
        </a:xfrm>
        <a:prstGeom prst="rect">
          <a:avLst/>
        </a:prstGeom>
      </xdr:spPr>
    </xdr:pic>
    <xdr:clientData/>
  </xdr:twoCellAnchor>
  <xdr:twoCellAnchor editAs="oneCell">
    <xdr:from>
      <xdr:col>15</xdr:col>
      <xdr:colOff>18595</xdr:colOff>
      <xdr:row>9</xdr:row>
      <xdr:rowOff>99864</xdr:rowOff>
    </xdr:from>
    <xdr:to>
      <xdr:col>15</xdr:col>
      <xdr:colOff>319795</xdr:colOff>
      <xdr:row>9</xdr:row>
      <xdr:rowOff>301318</xdr:rowOff>
    </xdr:to>
    <xdr:pic macro="[0]!GP_3">
      <xdr:nvPicPr>
        <xdr:cNvPr id="28" name="Afbeelding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66" y="2037521"/>
          <a:ext cx="301200" cy="201454"/>
        </a:xfrm>
        <a:prstGeom prst="rect">
          <a:avLst/>
        </a:prstGeom>
      </xdr:spPr>
    </xdr:pic>
    <xdr:clientData/>
  </xdr:twoCellAnchor>
  <xdr:twoCellAnchor editAs="oneCell">
    <xdr:from>
      <xdr:col>29</xdr:col>
      <xdr:colOff>24861</xdr:colOff>
      <xdr:row>9</xdr:row>
      <xdr:rowOff>88315</xdr:rowOff>
    </xdr:from>
    <xdr:to>
      <xdr:col>29</xdr:col>
      <xdr:colOff>319257</xdr:colOff>
      <xdr:row>9</xdr:row>
      <xdr:rowOff>289769</xdr:rowOff>
    </xdr:to>
    <xdr:pic macro="[0]!GP_4">
      <xdr:nvPicPr>
        <xdr:cNvPr id="29" name="Afbeelding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2811" y="2021890"/>
          <a:ext cx="294396" cy="201454"/>
        </a:xfrm>
        <a:prstGeom prst="rect">
          <a:avLst/>
        </a:prstGeom>
      </xdr:spPr>
    </xdr:pic>
    <xdr:clientData/>
  </xdr:twoCellAnchor>
  <xdr:twoCellAnchor editAs="oneCell">
    <xdr:from>
      <xdr:col>13</xdr:col>
      <xdr:colOff>25401</xdr:colOff>
      <xdr:row>10</xdr:row>
      <xdr:rowOff>97798</xdr:rowOff>
    </xdr:from>
    <xdr:to>
      <xdr:col>13</xdr:col>
      <xdr:colOff>326601</xdr:colOff>
      <xdr:row>10</xdr:row>
      <xdr:rowOff>299252</xdr:rowOff>
    </xdr:to>
    <xdr:pic macro="[0]!GP_5">
      <xdr:nvPicPr>
        <xdr:cNvPr id="30" name="Afbeelding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9351" y="2412373"/>
          <a:ext cx="301200" cy="201454"/>
        </a:xfrm>
        <a:prstGeom prst="rect">
          <a:avLst/>
        </a:prstGeom>
      </xdr:spPr>
    </xdr:pic>
    <xdr:clientData/>
  </xdr:twoCellAnchor>
  <xdr:twoCellAnchor editAs="oneCell">
    <xdr:from>
      <xdr:col>27</xdr:col>
      <xdr:colOff>22113</xdr:colOff>
      <xdr:row>10</xdr:row>
      <xdr:rowOff>88099</xdr:rowOff>
    </xdr:from>
    <xdr:to>
      <xdr:col>27</xdr:col>
      <xdr:colOff>322151</xdr:colOff>
      <xdr:row>10</xdr:row>
      <xdr:rowOff>289553</xdr:rowOff>
    </xdr:to>
    <xdr:pic macro="[0]!GP_6">
      <xdr:nvPicPr>
        <xdr:cNvPr id="31" name="Afbeelding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3313" y="2402674"/>
          <a:ext cx="300038" cy="201454"/>
        </a:xfrm>
        <a:prstGeom prst="rect">
          <a:avLst/>
        </a:prstGeom>
      </xdr:spPr>
    </xdr:pic>
    <xdr:clientData/>
  </xdr:twoCellAnchor>
  <xdr:twoCellAnchor editAs="oneCell">
    <xdr:from>
      <xdr:col>10</xdr:col>
      <xdr:colOff>22981</xdr:colOff>
      <xdr:row>11</xdr:row>
      <xdr:rowOff>92018</xdr:rowOff>
    </xdr:from>
    <xdr:to>
      <xdr:col>10</xdr:col>
      <xdr:colOff>323019</xdr:colOff>
      <xdr:row>11</xdr:row>
      <xdr:rowOff>293472</xdr:rowOff>
    </xdr:to>
    <xdr:pic macro="[0]!GP_7">
      <xdr:nvPicPr>
        <xdr:cNvPr id="32" name="Afbeelding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6806" y="2787593"/>
          <a:ext cx="300038" cy="201454"/>
        </a:xfrm>
        <a:prstGeom prst="rect">
          <a:avLst/>
        </a:prstGeom>
      </xdr:spPr>
    </xdr:pic>
    <xdr:clientData/>
  </xdr:twoCellAnchor>
  <xdr:twoCellAnchor editAs="oneCell">
    <xdr:from>
      <xdr:col>24</xdr:col>
      <xdr:colOff>15158</xdr:colOff>
      <xdr:row>11</xdr:row>
      <xdr:rowOff>88823</xdr:rowOff>
    </xdr:from>
    <xdr:to>
      <xdr:col>24</xdr:col>
      <xdr:colOff>315196</xdr:colOff>
      <xdr:row>11</xdr:row>
      <xdr:rowOff>290277</xdr:rowOff>
    </xdr:to>
    <xdr:pic macro="[0]!GP_8">
      <xdr:nvPicPr>
        <xdr:cNvPr id="33" name="Afbeelding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16233" y="2784398"/>
          <a:ext cx="300038" cy="201454"/>
        </a:xfrm>
        <a:prstGeom prst="rect">
          <a:avLst/>
        </a:prstGeom>
      </xdr:spPr>
    </xdr:pic>
    <xdr:clientData/>
  </xdr:twoCellAnchor>
  <xdr:twoCellAnchor editAs="oneCell">
    <xdr:from>
      <xdr:col>31</xdr:col>
      <xdr:colOff>23698</xdr:colOff>
      <xdr:row>11</xdr:row>
      <xdr:rowOff>98222</xdr:rowOff>
    </xdr:from>
    <xdr:to>
      <xdr:col>31</xdr:col>
      <xdr:colOff>323736</xdr:colOff>
      <xdr:row>11</xdr:row>
      <xdr:rowOff>299676</xdr:rowOff>
    </xdr:to>
    <xdr:pic macro="[0]!GP_9">
      <xdr:nvPicPr>
        <xdr:cNvPr id="34" name="Afbeelding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58398" y="2793797"/>
          <a:ext cx="300038" cy="201454"/>
        </a:xfrm>
        <a:prstGeom prst="rect">
          <a:avLst/>
        </a:prstGeom>
      </xdr:spPr>
    </xdr:pic>
    <xdr:clientData/>
  </xdr:twoCellAnchor>
  <xdr:twoCellAnchor editAs="oneCell">
    <xdr:from>
      <xdr:col>15</xdr:col>
      <xdr:colOff>22066</xdr:colOff>
      <xdr:row>12</xdr:row>
      <xdr:rowOff>90864</xdr:rowOff>
    </xdr:from>
    <xdr:to>
      <xdr:col>15</xdr:col>
      <xdr:colOff>322104</xdr:colOff>
      <xdr:row>12</xdr:row>
      <xdr:rowOff>292318</xdr:rowOff>
    </xdr:to>
    <xdr:pic macro="[0]!GP_10">
      <xdr:nvPicPr>
        <xdr:cNvPr id="35" name="Afbeelding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2766" y="3167439"/>
          <a:ext cx="300038" cy="201454"/>
        </a:xfrm>
        <a:prstGeom prst="rect">
          <a:avLst/>
        </a:prstGeom>
      </xdr:spPr>
    </xdr:pic>
    <xdr:clientData/>
  </xdr:twoCellAnchor>
  <xdr:twoCellAnchor editAs="oneCell">
    <xdr:from>
      <xdr:col>29</xdr:col>
      <xdr:colOff>22049</xdr:colOff>
      <xdr:row>12</xdr:row>
      <xdr:rowOff>98764</xdr:rowOff>
    </xdr:from>
    <xdr:to>
      <xdr:col>29</xdr:col>
      <xdr:colOff>322087</xdr:colOff>
      <xdr:row>12</xdr:row>
      <xdr:rowOff>300218</xdr:rowOff>
    </xdr:to>
    <xdr:pic macro="[0]!GP_11">
      <xdr:nvPicPr>
        <xdr:cNvPr id="36" name="Afbeelding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9999" y="3175339"/>
          <a:ext cx="300038" cy="201454"/>
        </a:xfrm>
        <a:prstGeom prst="rect">
          <a:avLst/>
        </a:prstGeom>
      </xdr:spPr>
    </xdr:pic>
    <xdr:clientData/>
  </xdr:twoCellAnchor>
  <xdr:twoCellAnchor editAs="oneCell">
    <xdr:from>
      <xdr:col>5</xdr:col>
      <xdr:colOff>19393</xdr:colOff>
      <xdr:row>13</xdr:row>
      <xdr:rowOff>98073</xdr:rowOff>
    </xdr:from>
    <xdr:to>
      <xdr:col>5</xdr:col>
      <xdr:colOff>319431</xdr:colOff>
      <xdr:row>13</xdr:row>
      <xdr:rowOff>299527</xdr:rowOff>
    </xdr:to>
    <xdr:pic macro="[0]!GP_12">
      <xdr:nvPicPr>
        <xdr:cNvPr id="37" name="Afbeelding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3622" y="3559730"/>
          <a:ext cx="300038" cy="201454"/>
        </a:xfrm>
        <a:prstGeom prst="rect">
          <a:avLst/>
        </a:prstGeom>
      </xdr:spPr>
    </xdr:pic>
    <xdr:clientData/>
  </xdr:twoCellAnchor>
  <xdr:twoCellAnchor editAs="oneCell">
    <xdr:from>
      <xdr:col>2</xdr:col>
      <xdr:colOff>15250</xdr:colOff>
      <xdr:row>14</xdr:row>
      <xdr:rowOff>91649</xdr:rowOff>
    </xdr:from>
    <xdr:to>
      <xdr:col>2</xdr:col>
      <xdr:colOff>315288</xdr:colOff>
      <xdr:row>14</xdr:row>
      <xdr:rowOff>293103</xdr:rowOff>
    </xdr:to>
    <xdr:pic macro="[0]!GP_13">
      <xdr:nvPicPr>
        <xdr:cNvPr id="38" name="Afbeelding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2075" y="3930224"/>
          <a:ext cx="300038" cy="201454"/>
        </a:xfrm>
        <a:prstGeom prst="rect">
          <a:avLst/>
        </a:prstGeom>
      </xdr:spPr>
    </xdr:pic>
    <xdr:clientData/>
  </xdr:twoCellAnchor>
  <xdr:twoCellAnchor editAs="oneCell">
    <xdr:from>
      <xdr:col>9</xdr:col>
      <xdr:colOff>21561</xdr:colOff>
      <xdr:row>14</xdr:row>
      <xdr:rowOff>99113</xdr:rowOff>
    </xdr:from>
    <xdr:to>
      <xdr:col>9</xdr:col>
      <xdr:colOff>321599</xdr:colOff>
      <xdr:row>14</xdr:row>
      <xdr:rowOff>300567</xdr:rowOff>
    </xdr:to>
    <xdr:pic macro="[0]!GP_14">
      <xdr:nvPicPr>
        <xdr:cNvPr id="39" name="Afbeelding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2011" y="3937688"/>
          <a:ext cx="300038" cy="201454"/>
        </a:xfrm>
        <a:prstGeom prst="rect">
          <a:avLst/>
        </a:prstGeom>
      </xdr:spPr>
    </xdr:pic>
    <xdr:clientData/>
  </xdr:twoCellAnchor>
  <xdr:twoCellAnchor editAs="oneCell">
    <xdr:from>
      <xdr:col>23</xdr:col>
      <xdr:colOff>23043</xdr:colOff>
      <xdr:row>14</xdr:row>
      <xdr:rowOff>107969</xdr:rowOff>
    </xdr:from>
    <xdr:to>
      <xdr:col>23</xdr:col>
      <xdr:colOff>323081</xdr:colOff>
      <xdr:row>14</xdr:row>
      <xdr:rowOff>309423</xdr:rowOff>
    </xdr:to>
    <xdr:pic macro="[0]!GP_15">
      <xdr:nvPicPr>
        <xdr:cNvPr id="40" name="Afbeelding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90743" y="3946544"/>
          <a:ext cx="300038" cy="201454"/>
        </a:xfrm>
        <a:prstGeom prst="rect">
          <a:avLst/>
        </a:prstGeom>
      </xdr:spPr>
    </xdr:pic>
    <xdr:clientData/>
  </xdr:twoCellAnchor>
  <xdr:twoCellAnchor editAs="oneCell">
    <xdr:from>
      <xdr:col>30</xdr:col>
      <xdr:colOff>25341</xdr:colOff>
      <xdr:row>14</xdr:row>
      <xdr:rowOff>101857</xdr:rowOff>
    </xdr:from>
    <xdr:to>
      <xdr:col>30</xdr:col>
      <xdr:colOff>325379</xdr:colOff>
      <xdr:row>14</xdr:row>
      <xdr:rowOff>303311</xdr:rowOff>
    </xdr:to>
    <xdr:pic macro="[0]!GP_16">
      <xdr:nvPicPr>
        <xdr:cNvPr id="41" name="Afbeelding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6666" y="3940432"/>
          <a:ext cx="300038" cy="201454"/>
        </a:xfrm>
        <a:prstGeom prst="rect">
          <a:avLst/>
        </a:prstGeom>
      </xdr:spPr>
    </xdr:pic>
    <xdr:clientData/>
  </xdr:twoCellAnchor>
  <xdr:twoCellAnchor editAs="oneCell">
    <xdr:from>
      <xdr:col>14</xdr:col>
      <xdr:colOff>21078</xdr:colOff>
      <xdr:row>15</xdr:row>
      <xdr:rowOff>99198</xdr:rowOff>
    </xdr:from>
    <xdr:to>
      <xdr:col>14</xdr:col>
      <xdr:colOff>315473</xdr:colOff>
      <xdr:row>15</xdr:row>
      <xdr:rowOff>300652</xdr:rowOff>
    </xdr:to>
    <xdr:pic macro="[0]!GP_17">
      <xdr:nvPicPr>
        <xdr:cNvPr id="42" name="Afbeelding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3435" y="4322855"/>
          <a:ext cx="294395" cy="201454"/>
        </a:xfrm>
        <a:prstGeom prst="rect">
          <a:avLst/>
        </a:prstGeom>
      </xdr:spPr>
    </xdr:pic>
    <xdr:clientData/>
  </xdr:twoCellAnchor>
  <xdr:twoCellAnchor editAs="oneCell">
    <xdr:from>
      <xdr:col>28</xdr:col>
      <xdr:colOff>24488</xdr:colOff>
      <xdr:row>15</xdr:row>
      <xdr:rowOff>98121</xdr:rowOff>
    </xdr:from>
    <xdr:to>
      <xdr:col>28</xdr:col>
      <xdr:colOff>324526</xdr:colOff>
      <xdr:row>15</xdr:row>
      <xdr:rowOff>299575</xdr:rowOff>
    </xdr:to>
    <xdr:pic macro="[0]!GP_18">
      <xdr:nvPicPr>
        <xdr:cNvPr id="43" name="Afbeelding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59063" y="4317696"/>
          <a:ext cx="300038" cy="201454"/>
        </a:xfrm>
        <a:prstGeom prst="rect">
          <a:avLst/>
        </a:prstGeom>
      </xdr:spPr>
    </xdr:pic>
    <xdr:clientData/>
  </xdr:twoCellAnchor>
  <xdr:twoCellAnchor editAs="oneCell">
    <xdr:from>
      <xdr:col>18</xdr:col>
      <xdr:colOff>21890</xdr:colOff>
      <xdr:row>16</xdr:row>
      <xdr:rowOff>98215</xdr:rowOff>
    </xdr:from>
    <xdr:to>
      <xdr:col>18</xdr:col>
      <xdr:colOff>321928</xdr:colOff>
      <xdr:row>16</xdr:row>
      <xdr:rowOff>299669</xdr:rowOff>
    </xdr:to>
    <xdr:pic macro="[0]!GP_20">
      <xdr:nvPicPr>
        <xdr:cNvPr id="44" name="Afbeelding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2715" y="4698790"/>
          <a:ext cx="300038" cy="201454"/>
        </a:xfrm>
        <a:prstGeom prst="rect">
          <a:avLst/>
        </a:prstGeom>
      </xdr:spPr>
    </xdr:pic>
    <xdr:clientData/>
  </xdr:twoCellAnchor>
  <xdr:twoCellAnchor editAs="oneCell">
    <xdr:from>
      <xdr:col>2</xdr:col>
      <xdr:colOff>15271</xdr:colOff>
      <xdr:row>17</xdr:row>
      <xdr:rowOff>92620</xdr:rowOff>
    </xdr:from>
    <xdr:to>
      <xdr:col>2</xdr:col>
      <xdr:colOff>315309</xdr:colOff>
      <xdr:row>17</xdr:row>
      <xdr:rowOff>294074</xdr:rowOff>
    </xdr:to>
    <xdr:pic macro="[0]!GP_21">
      <xdr:nvPicPr>
        <xdr:cNvPr id="45" name="Afbeelding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2096" y="5074195"/>
          <a:ext cx="300038" cy="201454"/>
        </a:xfrm>
        <a:prstGeom prst="rect">
          <a:avLst/>
        </a:prstGeom>
      </xdr:spPr>
    </xdr:pic>
    <xdr:clientData/>
  </xdr:twoCellAnchor>
  <xdr:twoCellAnchor editAs="oneCell">
    <xdr:from>
      <xdr:col>4</xdr:col>
      <xdr:colOff>21652</xdr:colOff>
      <xdr:row>16</xdr:row>
      <xdr:rowOff>90978</xdr:rowOff>
    </xdr:from>
    <xdr:to>
      <xdr:col>4</xdr:col>
      <xdr:colOff>321652</xdr:colOff>
      <xdr:row>16</xdr:row>
      <xdr:rowOff>292407</xdr:rowOff>
    </xdr:to>
    <xdr:pic macro="[0]!GP_19">
      <xdr:nvPicPr>
        <xdr:cNvPr id="46" name="Afbeelding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5227" y="4691553"/>
          <a:ext cx="300000" cy="201429"/>
        </a:xfrm>
        <a:prstGeom prst="rect">
          <a:avLst/>
        </a:prstGeom>
      </xdr:spPr>
    </xdr:pic>
    <xdr:clientData/>
  </xdr:twoCellAnchor>
  <xdr:twoCellAnchor>
    <xdr:from>
      <xdr:col>6</xdr:col>
      <xdr:colOff>304800</xdr:colOff>
      <xdr:row>3</xdr:row>
      <xdr:rowOff>152399</xdr:rowOff>
    </xdr:from>
    <xdr:to>
      <xdr:col>27</xdr:col>
      <xdr:colOff>85725</xdr:colOff>
      <xdr:row>5</xdr:row>
      <xdr:rowOff>123823</xdr:rowOff>
    </xdr:to>
    <xdr:sp macro="[0]!klikniethier" textlink="">
      <xdr:nvSpPr>
        <xdr:cNvPr id="48" name="Afgeronde rechthoek 23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>
          <a:off x="2905125" y="695324"/>
          <a:ext cx="6781800" cy="361949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2800" b="0">
              <a:solidFill>
                <a:schemeClr val="bg1"/>
              </a:solidFill>
              <a:latin typeface="+mn-lt"/>
            </a:rPr>
            <a:t>2019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307520</xdr:colOff>
      <xdr:row>3</xdr:row>
      <xdr:rowOff>10203</xdr:rowOff>
    </xdr:from>
    <xdr:to>
      <xdr:col>1</xdr:col>
      <xdr:colOff>673145</xdr:colOff>
      <xdr:row>5</xdr:row>
      <xdr:rowOff>1653</xdr:rowOff>
    </xdr:to>
    <xdr:sp macro="[0]!startpagina" textlink="">
      <xdr:nvSpPr>
        <xdr:cNvPr id="16" name="Afgeronde rechthoek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307520" y="295953"/>
          <a:ext cx="1080000" cy="2772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>
              <a:solidFill>
                <a:schemeClr val="bg1"/>
              </a:solidFill>
            </a:rPr>
            <a:t>startpagina</a:t>
          </a:r>
        </a:p>
      </xdr:txBody>
    </xdr:sp>
    <xdr:clientData/>
  </xdr:twoCellAnchor>
  <xdr:twoCellAnchor editAs="absolute">
    <xdr:from>
      <xdr:col>1</xdr:col>
      <xdr:colOff>732648</xdr:colOff>
      <xdr:row>3</xdr:row>
      <xdr:rowOff>7660</xdr:rowOff>
    </xdr:from>
    <xdr:to>
      <xdr:col>4</xdr:col>
      <xdr:colOff>151623</xdr:colOff>
      <xdr:row>4</xdr:row>
      <xdr:rowOff>181015</xdr:rowOff>
    </xdr:to>
    <xdr:sp macro="[0]!uitslag_VT1" textlink="">
      <xdr:nvSpPr>
        <xdr:cNvPr id="11" name="Afgeronde rechthoek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1447023" y="293410"/>
          <a:ext cx="1079046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1</a:t>
          </a:r>
        </a:p>
      </xdr:txBody>
    </xdr:sp>
    <xdr:clientData/>
  </xdr:twoCellAnchor>
  <xdr:twoCellAnchor editAs="absolute">
    <xdr:from>
      <xdr:col>4</xdr:col>
      <xdr:colOff>215809</xdr:colOff>
      <xdr:row>3</xdr:row>
      <xdr:rowOff>6367</xdr:rowOff>
    </xdr:from>
    <xdr:to>
      <xdr:col>5</xdr:col>
      <xdr:colOff>487704</xdr:colOff>
      <xdr:row>4</xdr:row>
      <xdr:rowOff>179722</xdr:rowOff>
    </xdr:to>
    <xdr:sp macro="[0]!uitslag_VT2" textlink="">
      <xdr:nvSpPr>
        <xdr:cNvPr id="17" name="Afgeronde rechthoek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2587668" y="296142"/>
          <a:ext cx="1071459" cy="277566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2</a:t>
          </a:r>
        </a:p>
      </xdr:txBody>
    </xdr:sp>
    <xdr:clientData/>
  </xdr:twoCellAnchor>
  <xdr:twoCellAnchor editAs="absolute">
    <xdr:from>
      <xdr:col>5</xdr:col>
      <xdr:colOff>554128</xdr:colOff>
      <xdr:row>3</xdr:row>
      <xdr:rowOff>8403</xdr:rowOff>
    </xdr:from>
    <xdr:to>
      <xdr:col>7</xdr:col>
      <xdr:colOff>197373</xdr:colOff>
      <xdr:row>4</xdr:row>
      <xdr:rowOff>181758</xdr:rowOff>
    </xdr:to>
    <xdr:sp macro="[0]!uitslag_VT3" textlink="">
      <xdr:nvSpPr>
        <xdr:cNvPr id="15" name="Afgeronde rechthoek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3725551" y="298178"/>
          <a:ext cx="1070653" cy="277566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3</a:t>
          </a:r>
        </a:p>
      </xdr:txBody>
    </xdr:sp>
    <xdr:clientData/>
  </xdr:twoCellAnchor>
  <xdr:twoCellAnchor editAs="absolute">
    <xdr:from>
      <xdr:col>7</xdr:col>
      <xdr:colOff>263153</xdr:colOff>
      <xdr:row>3</xdr:row>
      <xdr:rowOff>8434</xdr:rowOff>
    </xdr:from>
    <xdr:to>
      <xdr:col>8</xdr:col>
      <xdr:colOff>544573</xdr:colOff>
      <xdr:row>4</xdr:row>
      <xdr:rowOff>180285</xdr:rowOff>
    </xdr:to>
    <xdr:sp macro="[0]!uitslag_KW" textlink="">
      <xdr:nvSpPr>
        <xdr:cNvPr id="18" name="Afgeronde rechthoek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>
          <a:off x="4861984" y="298209"/>
          <a:ext cx="1072934" cy="276062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kwalificatie</a:t>
          </a:r>
        </a:p>
      </xdr:txBody>
    </xdr:sp>
    <xdr:clientData/>
  </xdr:twoCellAnchor>
  <xdr:twoCellAnchor editAs="absolute">
    <xdr:from>
      <xdr:col>8</xdr:col>
      <xdr:colOff>615579</xdr:colOff>
      <xdr:row>3</xdr:row>
      <xdr:rowOff>9435</xdr:rowOff>
    </xdr:from>
    <xdr:to>
      <xdr:col>10</xdr:col>
      <xdr:colOff>258824</xdr:colOff>
      <xdr:row>4</xdr:row>
      <xdr:rowOff>181286</xdr:rowOff>
    </xdr:to>
    <xdr:sp macro="[0]!uitslag_SO" textlink="">
      <xdr:nvSpPr>
        <xdr:cNvPr id="19" name="Afgeronde rechthoek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6005924" y="299210"/>
          <a:ext cx="1070654" cy="276062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startopstelling</a:t>
          </a:r>
        </a:p>
      </xdr:txBody>
    </xdr:sp>
    <xdr:clientData/>
  </xdr:twoCellAnchor>
  <xdr:twoCellAnchor editAs="absolute">
    <xdr:from>
      <xdr:col>10</xdr:col>
      <xdr:colOff>323570</xdr:colOff>
      <xdr:row>3</xdr:row>
      <xdr:rowOff>8434</xdr:rowOff>
    </xdr:from>
    <xdr:to>
      <xdr:col>12</xdr:col>
      <xdr:colOff>176365</xdr:colOff>
      <xdr:row>4</xdr:row>
      <xdr:rowOff>180285</xdr:rowOff>
    </xdr:to>
    <xdr:sp macro="[0]!uitslag_GP" textlink="">
      <xdr:nvSpPr>
        <xdr:cNvPr id="20" name="Afgeronde rechthoek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7141324" y="298209"/>
          <a:ext cx="1070921" cy="276062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race</a:t>
          </a:r>
        </a:p>
      </xdr:txBody>
    </xdr:sp>
    <xdr:clientData/>
  </xdr:twoCellAnchor>
  <xdr:twoCellAnchor editAs="absolute">
    <xdr:from>
      <xdr:col>10</xdr:col>
      <xdr:colOff>321129</xdr:colOff>
      <xdr:row>7</xdr:row>
      <xdr:rowOff>20713</xdr:rowOff>
    </xdr:from>
    <xdr:to>
      <xdr:col>12</xdr:col>
      <xdr:colOff>174729</xdr:colOff>
      <xdr:row>8</xdr:row>
      <xdr:rowOff>42429</xdr:rowOff>
    </xdr:to>
    <xdr:sp macro="[0]!toon_circuit" textlink="">
      <xdr:nvSpPr>
        <xdr:cNvPr id="21" name="Afgeronde rechthoek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7141029" y="963688"/>
          <a:ext cx="1072800" cy="269366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 b="0"/>
            <a:t>toon circuit</a:t>
          </a:r>
          <a:r>
            <a:rPr lang="nl-NL" sz="1100" b="0" baseline="0"/>
            <a:t> </a:t>
          </a:r>
          <a:endParaRPr lang="nl-NL" sz="1100" b="0"/>
        </a:p>
      </xdr:txBody>
    </xdr:sp>
    <xdr:clientData/>
  </xdr:twoCellAnchor>
  <xdr:twoCellAnchor editAs="absolute">
    <xdr:from>
      <xdr:col>0</xdr:col>
      <xdr:colOff>312580</xdr:colOff>
      <xdr:row>7</xdr:row>
      <xdr:rowOff>14967</xdr:rowOff>
    </xdr:from>
    <xdr:to>
      <xdr:col>0</xdr:col>
      <xdr:colOff>679194</xdr:colOff>
      <xdr:row>7</xdr:row>
      <xdr:rowOff>230967</xdr:rowOff>
    </xdr:to>
    <xdr:sp macro="[0]!Blad4.min1" textlink="">
      <xdr:nvSpPr>
        <xdr:cNvPr id="10" name="plus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312580" y="956884"/>
          <a:ext cx="366614" cy="21600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>
          <a:sp3d/>
        </a:bodyPr>
        <a:lstStyle/>
        <a:p>
          <a:pPr algn="ctr"/>
          <a:r>
            <a:rPr lang="nl-NL" sz="1100" b="1">
              <a:solidFill>
                <a:schemeClr val="bg1"/>
              </a:solidFill>
            </a:rPr>
            <a:t>&lt;&lt;</a:t>
          </a:r>
        </a:p>
      </xdr:txBody>
    </xdr:sp>
    <xdr:clientData/>
  </xdr:twoCellAnchor>
  <xdr:twoCellAnchor editAs="absolute">
    <xdr:from>
      <xdr:col>1</xdr:col>
      <xdr:colOff>311592</xdr:colOff>
      <xdr:row>7</xdr:row>
      <xdr:rowOff>10581</xdr:rowOff>
    </xdr:from>
    <xdr:to>
      <xdr:col>1</xdr:col>
      <xdr:colOff>671592</xdr:colOff>
      <xdr:row>7</xdr:row>
      <xdr:rowOff>226581</xdr:rowOff>
    </xdr:to>
    <xdr:sp macro="[0]!Blad4.plus1" textlink="">
      <xdr:nvSpPr>
        <xdr:cNvPr id="12" name="Afgeronde rechthoek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1031259" y="952498"/>
          <a:ext cx="360000" cy="21600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 b="1">
              <a:solidFill>
                <a:schemeClr val="bg1"/>
              </a:solidFill>
            </a:rPr>
            <a:t>&gt;&gt;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44694</xdr:colOff>
          <xdr:row>7</xdr:row>
          <xdr:rowOff>19888</xdr:rowOff>
        </xdr:from>
        <xdr:to>
          <xdr:col>3</xdr:col>
          <xdr:colOff>164442</xdr:colOff>
          <xdr:row>8</xdr:row>
          <xdr:rowOff>13575</xdr:rowOff>
        </xdr:to>
        <xdr:pic macro="[0]!toon_circuit">
          <xdr:nvPicPr>
            <xdr:cNvPr id="13" name="Afbeelding 12">
              <a:extLst>
                <a:ext uri="{FF2B5EF4-FFF2-40B4-BE49-F238E27FC236}">
                  <a16:creationId xmlns:a16="http://schemas.microsoft.com/office/drawing/2014/main" id="{00000000-0008-0000-0200-00000D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vlag_raceinfo" spid="_x0000_s70725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1721094" y="962863"/>
              <a:ext cx="567423" cy="241337"/>
            </a:xfrm>
            <a:prstGeom prst="rect">
              <a:avLst/>
            </a:prstGeom>
            <a:noFill/>
            <a:ln w="15875">
              <a:noFill/>
            </a:ln>
            <a:effectLst>
              <a:softEdge rad="12700"/>
            </a:effectLst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313335</xdr:colOff>
      <xdr:row>3</xdr:row>
      <xdr:rowOff>10850</xdr:rowOff>
    </xdr:from>
    <xdr:to>
      <xdr:col>10</xdr:col>
      <xdr:colOff>585230</xdr:colOff>
      <xdr:row>5</xdr:row>
      <xdr:rowOff>56971</xdr:rowOff>
    </xdr:to>
    <xdr:sp macro="[0]!uitslag_GP" textlink="">
      <xdr:nvSpPr>
        <xdr:cNvPr id="17" name="Afgeronde rechthoek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7142760" y="296600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race</a:t>
          </a:r>
        </a:p>
      </xdr:txBody>
    </xdr:sp>
    <xdr:clientData/>
  </xdr:twoCellAnchor>
  <xdr:twoCellAnchor editAs="absolute">
    <xdr:from>
      <xdr:col>6</xdr:col>
      <xdr:colOff>595818</xdr:colOff>
      <xdr:row>3</xdr:row>
      <xdr:rowOff>10850</xdr:rowOff>
    </xdr:from>
    <xdr:to>
      <xdr:col>8</xdr:col>
      <xdr:colOff>162863</xdr:colOff>
      <xdr:row>5</xdr:row>
      <xdr:rowOff>56971</xdr:rowOff>
    </xdr:to>
    <xdr:sp macro="[0]!uitslag_KW" textlink="">
      <xdr:nvSpPr>
        <xdr:cNvPr id="15" name="Afgeronde rechthoek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4863018" y="296600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kwalificatie</a:t>
          </a:r>
        </a:p>
      </xdr:txBody>
    </xdr:sp>
    <xdr:clientData/>
  </xdr:twoCellAnchor>
  <xdr:twoCellAnchor editAs="absolute">
    <xdr:from>
      <xdr:col>8</xdr:col>
      <xdr:colOff>233869</xdr:colOff>
      <xdr:row>3</xdr:row>
      <xdr:rowOff>11851</xdr:rowOff>
    </xdr:from>
    <xdr:to>
      <xdr:col>9</xdr:col>
      <xdr:colOff>248589</xdr:colOff>
      <xdr:row>5</xdr:row>
      <xdr:rowOff>57972</xdr:rowOff>
    </xdr:to>
    <xdr:sp macro="[0]!uitslag_SO" textlink="">
      <xdr:nvSpPr>
        <xdr:cNvPr id="16" name="Afgeronde rechthoek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6006019" y="297601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startopstelling</a:t>
          </a:r>
        </a:p>
      </xdr:txBody>
    </xdr:sp>
    <xdr:clientData/>
  </xdr:twoCellAnchor>
  <xdr:twoCellAnchor editAs="absolute">
    <xdr:from>
      <xdr:col>5</xdr:col>
      <xdr:colOff>439118</xdr:colOff>
      <xdr:row>3</xdr:row>
      <xdr:rowOff>10819</xdr:rowOff>
    </xdr:from>
    <xdr:to>
      <xdr:col>6</xdr:col>
      <xdr:colOff>530038</xdr:colOff>
      <xdr:row>5</xdr:row>
      <xdr:rowOff>58444</xdr:rowOff>
    </xdr:to>
    <xdr:sp macro="[0]!uitslag_VT3" textlink="">
      <xdr:nvSpPr>
        <xdr:cNvPr id="14" name="Afgeronde rechthoek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3725243" y="296569"/>
          <a:ext cx="107199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3</a:t>
          </a:r>
        </a:p>
      </xdr:txBody>
    </xdr:sp>
    <xdr:clientData/>
  </xdr:twoCellAnchor>
  <xdr:twoCellAnchor editAs="absolute">
    <xdr:from>
      <xdr:col>3</xdr:col>
      <xdr:colOff>596099</xdr:colOff>
      <xdr:row>3</xdr:row>
      <xdr:rowOff>8783</xdr:rowOff>
    </xdr:from>
    <xdr:to>
      <xdr:col>5</xdr:col>
      <xdr:colOff>372694</xdr:colOff>
      <xdr:row>5</xdr:row>
      <xdr:rowOff>56408</xdr:rowOff>
    </xdr:to>
    <xdr:sp macro="[0]!uitslag_VT2" textlink="">
      <xdr:nvSpPr>
        <xdr:cNvPr id="13" name="Afgeronde rechthoek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2586824" y="294533"/>
          <a:ext cx="107199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2</a:t>
          </a:r>
        </a:p>
      </xdr:txBody>
    </xdr:sp>
    <xdr:clientData/>
  </xdr:twoCellAnchor>
  <xdr:twoCellAnchor editAs="absolute">
    <xdr:from>
      <xdr:col>1</xdr:col>
      <xdr:colOff>836713</xdr:colOff>
      <xdr:row>3</xdr:row>
      <xdr:rowOff>10076</xdr:rowOff>
    </xdr:from>
    <xdr:to>
      <xdr:col>3</xdr:col>
      <xdr:colOff>531913</xdr:colOff>
      <xdr:row>5</xdr:row>
      <xdr:rowOff>57701</xdr:rowOff>
    </xdr:to>
    <xdr:sp macro="[0]!uitslag_VT1" textlink="">
      <xdr:nvSpPr>
        <xdr:cNvPr id="12" name="Afgeronde rechthoek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1446313" y="295826"/>
          <a:ext cx="1076325" cy="276225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>
              <a:solidFill>
                <a:schemeClr val="bg1"/>
              </a:solidFill>
            </a:rPr>
            <a:t>vrije training 1</a:t>
          </a:r>
        </a:p>
      </xdr:txBody>
    </xdr:sp>
    <xdr:clientData/>
  </xdr:twoCellAnchor>
  <xdr:twoCellAnchor editAs="absolute">
    <xdr:from>
      <xdr:col>0</xdr:col>
      <xdr:colOff>306810</xdr:colOff>
      <xdr:row>3</xdr:row>
      <xdr:rowOff>12619</xdr:rowOff>
    </xdr:from>
    <xdr:to>
      <xdr:col>1</xdr:col>
      <xdr:colOff>777210</xdr:colOff>
      <xdr:row>5</xdr:row>
      <xdr:rowOff>61219</xdr:rowOff>
    </xdr:to>
    <xdr:sp macro="[0]!startpagina" textlink="">
      <xdr:nvSpPr>
        <xdr:cNvPr id="11" name="Afgeronde rechthoek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306810" y="298369"/>
          <a:ext cx="1080000" cy="2772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>
              <a:solidFill>
                <a:schemeClr val="bg1"/>
              </a:solidFill>
            </a:rPr>
            <a:t>startpagina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313706</xdr:colOff>
      <xdr:row>3</xdr:row>
      <xdr:rowOff>9212</xdr:rowOff>
    </xdr:from>
    <xdr:to>
      <xdr:col>10</xdr:col>
      <xdr:colOff>585601</xdr:colOff>
      <xdr:row>5</xdr:row>
      <xdr:rowOff>55333</xdr:rowOff>
    </xdr:to>
    <xdr:sp macro="[0]!uitslag_GP" textlink="">
      <xdr:nvSpPr>
        <xdr:cNvPr id="10" name="Afgeronde rechthoek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7143131" y="294962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race</a:t>
          </a:r>
        </a:p>
      </xdr:txBody>
    </xdr:sp>
    <xdr:clientData/>
  </xdr:twoCellAnchor>
  <xdr:twoCellAnchor editAs="absolute">
    <xdr:from>
      <xdr:col>6</xdr:col>
      <xdr:colOff>596189</xdr:colOff>
      <xdr:row>3</xdr:row>
      <xdr:rowOff>9212</xdr:rowOff>
    </xdr:from>
    <xdr:to>
      <xdr:col>8</xdr:col>
      <xdr:colOff>163234</xdr:colOff>
      <xdr:row>5</xdr:row>
      <xdr:rowOff>55333</xdr:rowOff>
    </xdr:to>
    <xdr:sp macro="[0]!uitslag_KW" textlink="">
      <xdr:nvSpPr>
        <xdr:cNvPr id="11" name="Afgeronde rechthoek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4863389" y="294962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kwalificatie</a:t>
          </a:r>
        </a:p>
      </xdr:txBody>
    </xdr:sp>
    <xdr:clientData/>
  </xdr:twoCellAnchor>
  <xdr:twoCellAnchor editAs="absolute">
    <xdr:from>
      <xdr:col>8</xdr:col>
      <xdr:colOff>234240</xdr:colOff>
      <xdr:row>3</xdr:row>
      <xdr:rowOff>10213</xdr:rowOff>
    </xdr:from>
    <xdr:to>
      <xdr:col>9</xdr:col>
      <xdr:colOff>248960</xdr:colOff>
      <xdr:row>5</xdr:row>
      <xdr:rowOff>56334</xdr:rowOff>
    </xdr:to>
    <xdr:sp macro="[0]!uitslag_SO" textlink="">
      <xdr:nvSpPr>
        <xdr:cNvPr id="12" name="Afgeronde rechthoek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6006390" y="295963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startopstelling</a:t>
          </a:r>
        </a:p>
      </xdr:txBody>
    </xdr:sp>
    <xdr:clientData/>
  </xdr:twoCellAnchor>
  <xdr:twoCellAnchor editAs="absolute">
    <xdr:from>
      <xdr:col>5</xdr:col>
      <xdr:colOff>439489</xdr:colOff>
      <xdr:row>3</xdr:row>
      <xdr:rowOff>9181</xdr:rowOff>
    </xdr:from>
    <xdr:to>
      <xdr:col>6</xdr:col>
      <xdr:colOff>530409</xdr:colOff>
      <xdr:row>5</xdr:row>
      <xdr:rowOff>56806</xdr:rowOff>
    </xdr:to>
    <xdr:sp macro="[0]!uitslag_VT3" textlink="">
      <xdr:nvSpPr>
        <xdr:cNvPr id="13" name="Afgeronde rechthoek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3725614" y="294931"/>
          <a:ext cx="107199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3</a:t>
          </a:r>
        </a:p>
      </xdr:txBody>
    </xdr:sp>
    <xdr:clientData/>
  </xdr:twoCellAnchor>
  <xdr:twoCellAnchor editAs="absolute">
    <xdr:from>
      <xdr:col>3</xdr:col>
      <xdr:colOff>596470</xdr:colOff>
      <xdr:row>3</xdr:row>
      <xdr:rowOff>7145</xdr:rowOff>
    </xdr:from>
    <xdr:to>
      <xdr:col>5</xdr:col>
      <xdr:colOff>373065</xdr:colOff>
      <xdr:row>5</xdr:row>
      <xdr:rowOff>54770</xdr:rowOff>
    </xdr:to>
    <xdr:sp macro="[0]!uitslag_VT2" textlink="">
      <xdr:nvSpPr>
        <xdr:cNvPr id="14" name="Afgeronde rechthoek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>
        <a:xfrm>
          <a:off x="2587195" y="292895"/>
          <a:ext cx="1071995" cy="276225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>
              <a:solidFill>
                <a:schemeClr val="bg1"/>
              </a:solidFill>
            </a:rPr>
            <a:t>vrije training 2</a:t>
          </a:r>
        </a:p>
      </xdr:txBody>
    </xdr:sp>
    <xdr:clientData/>
  </xdr:twoCellAnchor>
  <xdr:twoCellAnchor editAs="absolute">
    <xdr:from>
      <xdr:col>1</xdr:col>
      <xdr:colOff>837084</xdr:colOff>
      <xdr:row>3</xdr:row>
      <xdr:rowOff>8438</xdr:rowOff>
    </xdr:from>
    <xdr:to>
      <xdr:col>3</xdr:col>
      <xdr:colOff>532284</xdr:colOff>
      <xdr:row>5</xdr:row>
      <xdr:rowOff>56063</xdr:rowOff>
    </xdr:to>
    <xdr:sp macro="[0]!uitslag_VT1" textlink="">
      <xdr:nvSpPr>
        <xdr:cNvPr id="15" name="Afgeronde rechthoek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1446684" y="294188"/>
          <a:ext cx="107632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1</a:t>
          </a:r>
        </a:p>
      </xdr:txBody>
    </xdr:sp>
    <xdr:clientData/>
  </xdr:twoCellAnchor>
  <xdr:twoCellAnchor editAs="absolute">
    <xdr:from>
      <xdr:col>0</xdr:col>
      <xdr:colOff>307181</xdr:colOff>
      <xdr:row>3</xdr:row>
      <xdr:rowOff>10981</xdr:rowOff>
    </xdr:from>
    <xdr:to>
      <xdr:col>1</xdr:col>
      <xdr:colOff>777581</xdr:colOff>
      <xdr:row>5</xdr:row>
      <xdr:rowOff>59581</xdr:rowOff>
    </xdr:to>
    <xdr:sp macro="[0]!startpagina" textlink="">
      <xdr:nvSpPr>
        <xdr:cNvPr id="16" name="Afgeronde rechthoek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307181" y="296731"/>
          <a:ext cx="1080000" cy="2772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>
              <a:solidFill>
                <a:schemeClr val="bg1"/>
              </a:solidFill>
            </a:rPr>
            <a:t>startpagina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313705</xdr:colOff>
      <xdr:row>3</xdr:row>
      <xdr:rowOff>9211</xdr:rowOff>
    </xdr:from>
    <xdr:to>
      <xdr:col>10</xdr:col>
      <xdr:colOff>585600</xdr:colOff>
      <xdr:row>5</xdr:row>
      <xdr:rowOff>55332</xdr:rowOff>
    </xdr:to>
    <xdr:sp macro="[0]!uitslag_GP" textlink="">
      <xdr:nvSpPr>
        <xdr:cNvPr id="10" name="Afgeronde rechthoek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>
          <a:off x="7143130" y="294961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race</a:t>
          </a:r>
        </a:p>
      </xdr:txBody>
    </xdr:sp>
    <xdr:clientData/>
  </xdr:twoCellAnchor>
  <xdr:twoCellAnchor editAs="absolute">
    <xdr:from>
      <xdr:col>6</xdr:col>
      <xdr:colOff>596188</xdr:colOff>
      <xdr:row>3</xdr:row>
      <xdr:rowOff>9211</xdr:rowOff>
    </xdr:from>
    <xdr:to>
      <xdr:col>8</xdr:col>
      <xdr:colOff>163233</xdr:colOff>
      <xdr:row>5</xdr:row>
      <xdr:rowOff>55332</xdr:rowOff>
    </xdr:to>
    <xdr:sp macro="[0]!uitslag_KW" textlink="">
      <xdr:nvSpPr>
        <xdr:cNvPr id="11" name="Afgeronde rechthoek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4863388" y="294961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kwalificatie</a:t>
          </a:r>
        </a:p>
      </xdr:txBody>
    </xdr:sp>
    <xdr:clientData/>
  </xdr:twoCellAnchor>
  <xdr:twoCellAnchor editAs="absolute">
    <xdr:from>
      <xdr:col>8</xdr:col>
      <xdr:colOff>234239</xdr:colOff>
      <xdr:row>3</xdr:row>
      <xdr:rowOff>10212</xdr:rowOff>
    </xdr:from>
    <xdr:to>
      <xdr:col>9</xdr:col>
      <xdr:colOff>248959</xdr:colOff>
      <xdr:row>5</xdr:row>
      <xdr:rowOff>56333</xdr:rowOff>
    </xdr:to>
    <xdr:sp macro="[0]!uitslag_SO" textlink="">
      <xdr:nvSpPr>
        <xdr:cNvPr id="12" name="Afgeronde rechthoek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/>
      </xdr:nvSpPr>
      <xdr:spPr>
        <a:xfrm>
          <a:off x="6006389" y="295962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startopstelling</a:t>
          </a:r>
        </a:p>
      </xdr:txBody>
    </xdr:sp>
    <xdr:clientData/>
  </xdr:twoCellAnchor>
  <xdr:twoCellAnchor editAs="absolute">
    <xdr:from>
      <xdr:col>5</xdr:col>
      <xdr:colOff>439488</xdr:colOff>
      <xdr:row>3</xdr:row>
      <xdr:rowOff>9180</xdr:rowOff>
    </xdr:from>
    <xdr:to>
      <xdr:col>6</xdr:col>
      <xdr:colOff>530408</xdr:colOff>
      <xdr:row>5</xdr:row>
      <xdr:rowOff>56805</xdr:rowOff>
    </xdr:to>
    <xdr:sp macro="[0]!uitslag_VT3" textlink="">
      <xdr:nvSpPr>
        <xdr:cNvPr id="13" name="Afgeronde rechthoek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/>
      </xdr:nvSpPr>
      <xdr:spPr>
        <a:xfrm>
          <a:off x="3725613" y="294930"/>
          <a:ext cx="1071995" cy="276225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>
              <a:solidFill>
                <a:schemeClr val="bg1"/>
              </a:solidFill>
            </a:rPr>
            <a:t>vrije training 3</a:t>
          </a:r>
        </a:p>
      </xdr:txBody>
    </xdr:sp>
    <xdr:clientData/>
  </xdr:twoCellAnchor>
  <xdr:twoCellAnchor editAs="absolute">
    <xdr:from>
      <xdr:col>3</xdr:col>
      <xdr:colOff>596469</xdr:colOff>
      <xdr:row>3</xdr:row>
      <xdr:rowOff>7144</xdr:rowOff>
    </xdr:from>
    <xdr:to>
      <xdr:col>5</xdr:col>
      <xdr:colOff>373064</xdr:colOff>
      <xdr:row>5</xdr:row>
      <xdr:rowOff>54769</xdr:rowOff>
    </xdr:to>
    <xdr:sp macro="[0]!uitslag_VT2" textlink="">
      <xdr:nvSpPr>
        <xdr:cNvPr id="14" name="Afgeronde rechthoek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/>
      </xdr:nvSpPr>
      <xdr:spPr>
        <a:xfrm>
          <a:off x="2587194" y="292894"/>
          <a:ext cx="107199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2</a:t>
          </a:r>
        </a:p>
      </xdr:txBody>
    </xdr:sp>
    <xdr:clientData/>
  </xdr:twoCellAnchor>
  <xdr:twoCellAnchor editAs="absolute">
    <xdr:from>
      <xdr:col>1</xdr:col>
      <xdr:colOff>837083</xdr:colOff>
      <xdr:row>3</xdr:row>
      <xdr:rowOff>8437</xdr:rowOff>
    </xdr:from>
    <xdr:to>
      <xdr:col>3</xdr:col>
      <xdr:colOff>532283</xdr:colOff>
      <xdr:row>5</xdr:row>
      <xdr:rowOff>56062</xdr:rowOff>
    </xdr:to>
    <xdr:sp macro="[0]!uitslag_VT1" textlink="">
      <xdr:nvSpPr>
        <xdr:cNvPr id="15" name="Afgeronde rechthoek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1446683" y="294187"/>
          <a:ext cx="107632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1</a:t>
          </a:r>
        </a:p>
      </xdr:txBody>
    </xdr:sp>
    <xdr:clientData/>
  </xdr:twoCellAnchor>
  <xdr:twoCellAnchor editAs="absolute">
    <xdr:from>
      <xdr:col>0</xdr:col>
      <xdr:colOff>307180</xdr:colOff>
      <xdr:row>3</xdr:row>
      <xdr:rowOff>10980</xdr:rowOff>
    </xdr:from>
    <xdr:to>
      <xdr:col>1</xdr:col>
      <xdr:colOff>777580</xdr:colOff>
      <xdr:row>5</xdr:row>
      <xdr:rowOff>59580</xdr:rowOff>
    </xdr:to>
    <xdr:sp macro="[0]!startpagina" textlink="">
      <xdr:nvSpPr>
        <xdr:cNvPr id="16" name="Afgeronde rechthoek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307180" y="296730"/>
          <a:ext cx="1080000" cy="2772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>
              <a:solidFill>
                <a:schemeClr val="bg1"/>
              </a:solidFill>
            </a:rPr>
            <a:t>startpagina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66056</xdr:colOff>
      <xdr:row>3</xdr:row>
      <xdr:rowOff>9211</xdr:rowOff>
    </xdr:from>
    <xdr:to>
      <xdr:col>13</xdr:col>
      <xdr:colOff>309376</xdr:colOff>
      <xdr:row>5</xdr:row>
      <xdr:rowOff>55332</xdr:rowOff>
    </xdr:to>
    <xdr:sp macro="[0]!uitslag_GP" textlink="">
      <xdr:nvSpPr>
        <xdr:cNvPr id="10" name="Afgeronde rechthoek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>
        <a:xfrm>
          <a:off x="7143131" y="294961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race</a:t>
          </a:r>
        </a:p>
      </xdr:txBody>
    </xdr:sp>
    <xdr:clientData/>
  </xdr:twoCellAnchor>
  <xdr:twoCellAnchor editAs="absolute">
    <xdr:from>
      <xdr:col>6</xdr:col>
      <xdr:colOff>596189</xdr:colOff>
      <xdr:row>3</xdr:row>
      <xdr:rowOff>9211</xdr:rowOff>
    </xdr:from>
    <xdr:to>
      <xdr:col>8</xdr:col>
      <xdr:colOff>163234</xdr:colOff>
      <xdr:row>5</xdr:row>
      <xdr:rowOff>55332</xdr:rowOff>
    </xdr:to>
    <xdr:sp macro="[0]!uitslag_KW" textlink="">
      <xdr:nvSpPr>
        <xdr:cNvPr id="11" name="Afgeronde rechthoek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4863389" y="294961"/>
          <a:ext cx="1071995" cy="274721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>
              <a:solidFill>
                <a:schemeClr val="bg1"/>
              </a:solidFill>
            </a:rPr>
            <a:t>kwalificatie</a:t>
          </a:r>
        </a:p>
      </xdr:txBody>
    </xdr:sp>
    <xdr:clientData/>
  </xdr:twoCellAnchor>
  <xdr:twoCellAnchor editAs="absolute">
    <xdr:from>
      <xdr:col>8</xdr:col>
      <xdr:colOff>234240</xdr:colOff>
      <xdr:row>3</xdr:row>
      <xdr:rowOff>10212</xdr:rowOff>
    </xdr:from>
    <xdr:to>
      <xdr:col>10</xdr:col>
      <xdr:colOff>1310</xdr:colOff>
      <xdr:row>5</xdr:row>
      <xdr:rowOff>56333</xdr:rowOff>
    </xdr:to>
    <xdr:sp macro="[0]!uitslag_SO" textlink="">
      <xdr:nvSpPr>
        <xdr:cNvPr id="12" name="Afgeronde rechthoek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/>
      </xdr:nvSpPr>
      <xdr:spPr>
        <a:xfrm>
          <a:off x="6006390" y="295962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startopstelling</a:t>
          </a:r>
        </a:p>
      </xdr:txBody>
    </xdr:sp>
    <xdr:clientData/>
  </xdr:twoCellAnchor>
  <xdr:twoCellAnchor editAs="absolute">
    <xdr:from>
      <xdr:col>5</xdr:col>
      <xdr:colOff>439489</xdr:colOff>
      <xdr:row>3</xdr:row>
      <xdr:rowOff>9180</xdr:rowOff>
    </xdr:from>
    <xdr:to>
      <xdr:col>6</xdr:col>
      <xdr:colOff>530409</xdr:colOff>
      <xdr:row>5</xdr:row>
      <xdr:rowOff>56805</xdr:rowOff>
    </xdr:to>
    <xdr:sp macro="[0]!uitslag_VT3" textlink="">
      <xdr:nvSpPr>
        <xdr:cNvPr id="13" name="Afgeronde rechthoek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/>
      </xdr:nvSpPr>
      <xdr:spPr>
        <a:xfrm>
          <a:off x="3725614" y="294930"/>
          <a:ext cx="107199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3</a:t>
          </a:r>
        </a:p>
      </xdr:txBody>
    </xdr:sp>
    <xdr:clientData/>
  </xdr:twoCellAnchor>
  <xdr:twoCellAnchor editAs="absolute">
    <xdr:from>
      <xdr:col>3</xdr:col>
      <xdr:colOff>596470</xdr:colOff>
      <xdr:row>3</xdr:row>
      <xdr:rowOff>7144</xdr:rowOff>
    </xdr:from>
    <xdr:to>
      <xdr:col>5</xdr:col>
      <xdr:colOff>373065</xdr:colOff>
      <xdr:row>5</xdr:row>
      <xdr:rowOff>54769</xdr:rowOff>
    </xdr:to>
    <xdr:sp macro="[0]!uitslag_VT2" textlink="">
      <xdr:nvSpPr>
        <xdr:cNvPr id="14" name="Afgeronde rechthoek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/>
      </xdr:nvSpPr>
      <xdr:spPr>
        <a:xfrm>
          <a:off x="2587195" y="292894"/>
          <a:ext cx="107199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2</a:t>
          </a:r>
        </a:p>
      </xdr:txBody>
    </xdr:sp>
    <xdr:clientData/>
  </xdr:twoCellAnchor>
  <xdr:twoCellAnchor editAs="absolute">
    <xdr:from>
      <xdr:col>1</xdr:col>
      <xdr:colOff>837084</xdr:colOff>
      <xdr:row>3</xdr:row>
      <xdr:rowOff>8437</xdr:rowOff>
    </xdr:from>
    <xdr:to>
      <xdr:col>3</xdr:col>
      <xdr:colOff>532284</xdr:colOff>
      <xdr:row>5</xdr:row>
      <xdr:rowOff>56062</xdr:rowOff>
    </xdr:to>
    <xdr:sp macro="[0]!uitslag_VT1" textlink="">
      <xdr:nvSpPr>
        <xdr:cNvPr id="15" name="Afgeronde rechthoek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/>
      </xdr:nvSpPr>
      <xdr:spPr>
        <a:xfrm>
          <a:off x="1446684" y="294187"/>
          <a:ext cx="107632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1</a:t>
          </a:r>
        </a:p>
      </xdr:txBody>
    </xdr:sp>
    <xdr:clientData/>
  </xdr:twoCellAnchor>
  <xdr:twoCellAnchor editAs="absolute">
    <xdr:from>
      <xdr:col>0</xdr:col>
      <xdr:colOff>307181</xdr:colOff>
      <xdr:row>3</xdr:row>
      <xdr:rowOff>10980</xdr:rowOff>
    </xdr:from>
    <xdr:to>
      <xdr:col>1</xdr:col>
      <xdr:colOff>777581</xdr:colOff>
      <xdr:row>5</xdr:row>
      <xdr:rowOff>59580</xdr:rowOff>
    </xdr:to>
    <xdr:sp macro="[0]!startpagina" textlink="">
      <xdr:nvSpPr>
        <xdr:cNvPr id="16" name="Afgeronde rechthoek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/>
      </xdr:nvSpPr>
      <xdr:spPr>
        <a:xfrm>
          <a:off x="307181" y="296730"/>
          <a:ext cx="1080000" cy="2772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>
              <a:solidFill>
                <a:schemeClr val="bg1"/>
              </a:solidFill>
            </a:rPr>
            <a:t>startpagina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313706</xdr:colOff>
      <xdr:row>3</xdr:row>
      <xdr:rowOff>9211</xdr:rowOff>
    </xdr:from>
    <xdr:to>
      <xdr:col>13</xdr:col>
      <xdr:colOff>585601</xdr:colOff>
      <xdr:row>5</xdr:row>
      <xdr:rowOff>55332</xdr:rowOff>
    </xdr:to>
    <xdr:sp macro="[0]!uitslag_GP" textlink="">
      <xdr:nvSpPr>
        <xdr:cNvPr id="10" name="Afgeronde rechthoek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>
        <a:xfrm>
          <a:off x="7143131" y="294961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race</a:t>
          </a:r>
        </a:p>
      </xdr:txBody>
    </xdr:sp>
    <xdr:clientData/>
  </xdr:twoCellAnchor>
  <xdr:twoCellAnchor editAs="absolute">
    <xdr:from>
      <xdr:col>8</xdr:col>
      <xdr:colOff>281864</xdr:colOff>
      <xdr:row>3</xdr:row>
      <xdr:rowOff>9211</xdr:rowOff>
    </xdr:from>
    <xdr:to>
      <xdr:col>10</xdr:col>
      <xdr:colOff>258484</xdr:colOff>
      <xdr:row>5</xdr:row>
      <xdr:rowOff>55332</xdr:rowOff>
    </xdr:to>
    <xdr:sp macro="[0]!uitslag_KW" textlink="">
      <xdr:nvSpPr>
        <xdr:cNvPr id="11" name="Afgeronde rechthoek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4863389" y="294961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kwalificatie</a:t>
          </a:r>
        </a:p>
      </xdr:txBody>
    </xdr:sp>
    <xdr:clientData/>
  </xdr:twoCellAnchor>
  <xdr:twoCellAnchor editAs="absolute">
    <xdr:from>
      <xdr:col>10</xdr:col>
      <xdr:colOff>329490</xdr:colOff>
      <xdr:row>3</xdr:row>
      <xdr:rowOff>10212</xdr:rowOff>
    </xdr:from>
    <xdr:to>
      <xdr:col>12</xdr:col>
      <xdr:colOff>248960</xdr:colOff>
      <xdr:row>5</xdr:row>
      <xdr:rowOff>56333</xdr:rowOff>
    </xdr:to>
    <xdr:sp macro="[0]!uitslag_SO" textlink="">
      <xdr:nvSpPr>
        <xdr:cNvPr id="12" name="Afgeronde rechthoek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/>
      </xdr:nvSpPr>
      <xdr:spPr>
        <a:xfrm>
          <a:off x="6006390" y="295962"/>
          <a:ext cx="1071995" cy="274721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>
              <a:solidFill>
                <a:schemeClr val="bg1"/>
              </a:solidFill>
            </a:rPr>
            <a:t>startopstelling</a:t>
          </a:r>
        </a:p>
      </xdr:txBody>
    </xdr:sp>
    <xdr:clientData/>
  </xdr:twoCellAnchor>
  <xdr:twoCellAnchor editAs="absolute">
    <xdr:from>
      <xdr:col>5</xdr:col>
      <xdr:colOff>687139</xdr:colOff>
      <xdr:row>3</xdr:row>
      <xdr:rowOff>9180</xdr:rowOff>
    </xdr:from>
    <xdr:to>
      <xdr:col>8</xdr:col>
      <xdr:colOff>216084</xdr:colOff>
      <xdr:row>5</xdr:row>
      <xdr:rowOff>56805</xdr:rowOff>
    </xdr:to>
    <xdr:sp macro="[0]!uitslag_VT3" textlink="">
      <xdr:nvSpPr>
        <xdr:cNvPr id="13" name="Afgeronde rechthoek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/>
      </xdr:nvSpPr>
      <xdr:spPr>
        <a:xfrm>
          <a:off x="3725614" y="294930"/>
          <a:ext cx="107199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3</a:t>
          </a:r>
        </a:p>
      </xdr:txBody>
    </xdr:sp>
    <xdr:clientData/>
  </xdr:twoCellAnchor>
  <xdr:twoCellAnchor editAs="absolute">
    <xdr:from>
      <xdr:col>3</xdr:col>
      <xdr:colOff>44020</xdr:colOff>
      <xdr:row>3</xdr:row>
      <xdr:rowOff>7144</xdr:rowOff>
    </xdr:from>
    <xdr:to>
      <xdr:col>5</xdr:col>
      <xdr:colOff>620715</xdr:colOff>
      <xdr:row>5</xdr:row>
      <xdr:rowOff>54769</xdr:rowOff>
    </xdr:to>
    <xdr:sp macro="[0]!uitslag_VT2" textlink="">
      <xdr:nvSpPr>
        <xdr:cNvPr id="14" name="Afgeronde rechthoek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/>
      </xdr:nvSpPr>
      <xdr:spPr>
        <a:xfrm>
          <a:off x="2587195" y="292894"/>
          <a:ext cx="107199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2</a:t>
          </a:r>
        </a:p>
      </xdr:txBody>
    </xdr:sp>
    <xdr:clientData/>
  </xdr:twoCellAnchor>
  <xdr:twoCellAnchor editAs="absolute">
    <xdr:from>
      <xdr:col>1</xdr:col>
      <xdr:colOff>837084</xdr:colOff>
      <xdr:row>3</xdr:row>
      <xdr:rowOff>8437</xdr:rowOff>
    </xdr:from>
    <xdr:to>
      <xdr:col>2</xdr:col>
      <xdr:colOff>846609</xdr:colOff>
      <xdr:row>5</xdr:row>
      <xdr:rowOff>56062</xdr:rowOff>
    </xdr:to>
    <xdr:sp macro="[0]!uitslag_VT1" textlink="">
      <xdr:nvSpPr>
        <xdr:cNvPr id="15" name="Afgeronde rechthoek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/>
      </xdr:nvSpPr>
      <xdr:spPr>
        <a:xfrm>
          <a:off x="1446684" y="294187"/>
          <a:ext cx="107632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1</a:t>
          </a:r>
        </a:p>
      </xdr:txBody>
    </xdr:sp>
    <xdr:clientData/>
  </xdr:twoCellAnchor>
  <xdr:twoCellAnchor editAs="absolute">
    <xdr:from>
      <xdr:col>0</xdr:col>
      <xdr:colOff>307181</xdr:colOff>
      <xdr:row>3</xdr:row>
      <xdr:rowOff>10980</xdr:rowOff>
    </xdr:from>
    <xdr:to>
      <xdr:col>1</xdr:col>
      <xdr:colOff>777581</xdr:colOff>
      <xdr:row>5</xdr:row>
      <xdr:rowOff>59580</xdr:rowOff>
    </xdr:to>
    <xdr:sp macro="[0]!startpagina" textlink="">
      <xdr:nvSpPr>
        <xdr:cNvPr id="16" name="Afgeronde rechthoek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/>
      </xdr:nvSpPr>
      <xdr:spPr>
        <a:xfrm>
          <a:off x="307181" y="296730"/>
          <a:ext cx="1080000" cy="2772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>
              <a:solidFill>
                <a:schemeClr val="bg1"/>
              </a:solidFill>
            </a:rPr>
            <a:t>startpagina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313705</xdr:colOff>
      <xdr:row>3</xdr:row>
      <xdr:rowOff>9212</xdr:rowOff>
    </xdr:from>
    <xdr:to>
      <xdr:col>16</xdr:col>
      <xdr:colOff>581025</xdr:colOff>
      <xdr:row>5</xdr:row>
      <xdr:rowOff>55333</xdr:rowOff>
    </xdr:to>
    <xdr:sp macro="[0]!uitslag_GP" textlink="">
      <xdr:nvSpPr>
        <xdr:cNvPr id="11" name="Afgeronde rechthoek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/>
      </xdr:nvSpPr>
      <xdr:spPr>
        <a:xfrm>
          <a:off x="7143130" y="294962"/>
          <a:ext cx="1067420" cy="274721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>
              <a:solidFill>
                <a:schemeClr val="bg1"/>
              </a:solidFill>
            </a:rPr>
            <a:t>race</a:t>
          </a:r>
        </a:p>
      </xdr:txBody>
    </xdr:sp>
    <xdr:clientData/>
  </xdr:twoCellAnchor>
  <xdr:twoCellAnchor editAs="absolute">
    <xdr:from>
      <xdr:col>6</xdr:col>
      <xdr:colOff>615238</xdr:colOff>
      <xdr:row>3</xdr:row>
      <xdr:rowOff>9212</xdr:rowOff>
    </xdr:from>
    <xdr:to>
      <xdr:col>11</xdr:col>
      <xdr:colOff>39408</xdr:colOff>
      <xdr:row>5</xdr:row>
      <xdr:rowOff>55333</xdr:rowOff>
    </xdr:to>
    <xdr:sp macro="[0]!uitslag_KW" textlink="">
      <xdr:nvSpPr>
        <xdr:cNvPr id="12" name="Afgeronde rechthoek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/>
      </xdr:nvSpPr>
      <xdr:spPr>
        <a:xfrm>
          <a:off x="4863388" y="294962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kwalificatie</a:t>
          </a:r>
        </a:p>
      </xdr:txBody>
    </xdr:sp>
    <xdr:clientData/>
  </xdr:twoCellAnchor>
  <xdr:twoCellAnchor editAs="absolute">
    <xdr:from>
      <xdr:col>11</xdr:col>
      <xdr:colOff>110414</xdr:colOff>
      <xdr:row>3</xdr:row>
      <xdr:rowOff>10213</xdr:rowOff>
    </xdr:from>
    <xdr:to>
      <xdr:col>15</xdr:col>
      <xdr:colOff>248959</xdr:colOff>
      <xdr:row>5</xdr:row>
      <xdr:rowOff>56334</xdr:rowOff>
    </xdr:to>
    <xdr:sp macro="[0]!uitslag_SO" textlink="">
      <xdr:nvSpPr>
        <xdr:cNvPr id="13" name="Afgeronde rechthoek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/>
      </xdr:nvSpPr>
      <xdr:spPr>
        <a:xfrm>
          <a:off x="6006389" y="295963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startopstelling</a:t>
          </a:r>
        </a:p>
      </xdr:txBody>
    </xdr:sp>
    <xdr:clientData/>
  </xdr:twoCellAnchor>
  <xdr:twoCellAnchor editAs="absolute">
    <xdr:from>
      <xdr:col>5</xdr:col>
      <xdr:colOff>363288</xdr:colOff>
      <xdr:row>3</xdr:row>
      <xdr:rowOff>9181</xdr:rowOff>
    </xdr:from>
    <xdr:to>
      <xdr:col>6</xdr:col>
      <xdr:colOff>549458</xdr:colOff>
      <xdr:row>5</xdr:row>
      <xdr:rowOff>56806</xdr:rowOff>
    </xdr:to>
    <xdr:sp macro="[0]!uitslag_VT3" textlink="">
      <xdr:nvSpPr>
        <xdr:cNvPr id="14" name="Afgeronde rechthoek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/>
      </xdr:nvSpPr>
      <xdr:spPr>
        <a:xfrm>
          <a:off x="3725613" y="294931"/>
          <a:ext cx="107199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3</a:t>
          </a:r>
        </a:p>
      </xdr:txBody>
    </xdr:sp>
    <xdr:clientData/>
  </xdr:twoCellAnchor>
  <xdr:twoCellAnchor editAs="absolute">
    <xdr:from>
      <xdr:col>3</xdr:col>
      <xdr:colOff>596469</xdr:colOff>
      <xdr:row>3</xdr:row>
      <xdr:rowOff>7145</xdr:rowOff>
    </xdr:from>
    <xdr:to>
      <xdr:col>5</xdr:col>
      <xdr:colOff>296864</xdr:colOff>
      <xdr:row>5</xdr:row>
      <xdr:rowOff>54770</xdr:rowOff>
    </xdr:to>
    <xdr:sp macro="[0]!uitslag_VT2" textlink="">
      <xdr:nvSpPr>
        <xdr:cNvPr id="15" name="Afgeronde rechthoek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/>
      </xdr:nvSpPr>
      <xdr:spPr>
        <a:xfrm>
          <a:off x="2587194" y="292895"/>
          <a:ext cx="107199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2</a:t>
          </a:r>
        </a:p>
      </xdr:txBody>
    </xdr:sp>
    <xdr:clientData/>
  </xdr:twoCellAnchor>
  <xdr:twoCellAnchor editAs="absolute">
    <xdr:from>
      <xdr:col>1</xdr:col>
      <xdr:colOff>837083</xdr:colOff>
      <xdr:row>3</xdr:row>
      <xdr:rowOff>8438</xdr:rowOff>
    </xdr:from>
    <xdr:to>
      <xdr:col>3</xdr:col>
      <xdr:colOff>532283</xdr:colOff>
      <xdr:row>5</xdr:row>
      <xdr:rowOff>56063</xdr:rowOff>
    </xdr:to>
    <xdr:sp macro="[0]!uitslag_VT1" textlink="">
      <xdr:nvSpPr>
        <xdr:cNvPr id="16" name="Afgeronde rechthoek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/>
      </xdr:nvSpPr>
      <xdr:spPr>
        <a:xfrm>
          <a:off x="1446683" y="294188"/>
          <a:ext cx="107632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1</a:t>
          </a:r>
        </a:p>
      </xdr:txBody>
    </xdr:sp>
    <xdr:clientData/>
  </xdr:twoCellAnchor>
  <xdr:twoCellAnchor editAs="absolute">
    <xdr:from>
      <xdr:col>0</xdr:col>
      <xdr:colOff>307180</xdr:colOff>
      <xdr:row>3</xdr:row>
      <xdr:rowOff>10981</xdr:rowOff>
    </xdr:from>
    <xdr:to>
      <xdr:col>1</xdr:col>
      <xdr:colOff>777580</xdr:colOff>
      <xdr:row>5</xdr:row>
      <xdr:rowOff>59581</xdr:rowOff>
    </xdr:to>
    <xdr:sp macro="[0]!startpagina" textlink="">
      <xdr:nvSpPr>
        <xdr:cNvPr id="17" name="Afgeronde rechthoek 1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/>
      </xdr:nvSpPr>
      <xdr:spPr>
        <a:xfrm>
          <a:off x="307180" y="296731"/>
          <a:ext cx="1080000" cy="2772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>
              <a:solidFill>
                <a:schemeClr val="bg1"/>
              </a:solidFill>
            </a:rPr>
            <a:t>startpagina</a:t>
          </a:r>
        </a:p>
      </xdr:txBody>
    </xdr:sp>
    <xdr:clientData/>
  </xdr:twoCellAnchor>
  <xdr:twoCellAnchor editAs="absolute">
    <xdr:from>
      <xdr:col>15</xdr:col>
      <xdr:colOff>422910</xdr:colOff>
      <xdr:row>8</xdr:row>
      <xdr:rowOff>1</xdr:rowOff>
    </xdr:from>
    <xdr:to>
      <xdr:col>16</xdr:col>
      <xdr:colOff>581025</xdr:colOff>
      <xdr:row>10</xdr:row>
      <xdr:rowOff>64832</xdr:rowOff>
    </xdr:to>
    <xdr:sp macro="[0]!grafiek_progressie" textlink="">
      <xdr:nvSpPr>
        <xdr:cNvPr id="18" name="Afgeronde rechthoek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/>
      </xdr:nvSpPr>
      <xdr:spPr>
        <a:xfrm>
          <a:off x="7273290" y="933451"/>
          <a:ext cx="963930" cy="45726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900"/>
            <a:t>grafiek progressie</a:t>
          </a:r>
        </a:p>
      </xdr:txBody>
    </xdr:sp>
    <xdr:clientData/>
  </xdr:twoCellAnchor>
  <xdr:twoCellAnchor editAs="absolute">
    <xdr:from>
      <xdr:col>0</xdr:col>
      <xdr:colOff>312022</xdr:colOff>
      <xdr:row>8</xdr:row>
      <xdr:rowOff>17837</xdr:rowOff>
    </xdr:from>
    <xdr:to>
      <xdr:col>1</xdr:col>
      <xdr:colOff>64803</xdr:colOff>
      <xdr:row>8</xdr:row>
      <xdr:rowOff>226217</xdr:rowOff>
    </xdr:to>
    <xdr:sp macro="[0]!Blad4.min1" textlink="">
      <xdr:nvSpPr>
        <xdr:cNvPr id="10" name="plus1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/>
      </xdr:nvSpPr>
      <xdr:spPr>
        <a:xfrm>
          <a:off x="312022" y="951287"/>
          <a:ext cx="362381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>
          <a:sp3d/>
        </a:bodyPr>
        <a:lstStyle/>
        <a:p>
          <a:pPr algn="ctr"/>
          <a:r>
            <a:rPr lang="nl-NL" sz="1100" b="1">
              <a:solidFill>
                <a:schemeClr val="bg1"/>
              </a:solidFill>
            </a:rPr>
            <a:t>&lt;&lt;</a:t>
          </a:r>
        </a:p>
      </xdr:txBody>
    </xdr:sp>
    <xdr:clientData/>
  </xdr:twoCellAnchor>
  <xdr:twoCellAnchor editAs="absolute">
    <xdr:from>
      <xdr:col>1</xdr:col>
      <xdr:colOff>416868</xdr:colOff>
      <xdr:row>8</xdr:row>
      <xdr:rowOff>13451</xdr:rowOff>
    </xdr:from>
    <xdr:to>
      <xdr:col>1</xdr:col>
      <xdr:colOff>776868</xdr:colOff>
      <xdr:row>9</xdr:row>
      <xdr:rowOff>851</xdr:rowOff>
    </xdr:to>
    <xdr:sp macro="[0]!Blad4.plus1" textlink="">
      <xdr:nvSpPr>
        <xdr:cNvPr id="19" name="Afgeronde rechthoek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/>
      </xdr:nvSpPr>
      <xdr:spPr>
        <a:xfrm>
          <a:off x="1027114" y="949807"/>
          <a:ext cx="36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 b="1">
              <a:solidFill>
                <a:schemeClr val="bg1"/>
              </a:solidFill>
            </a:rPr>
            <a:t>&gt;&gt;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515558</xdr:colOff>
      <xdr:row>10</xdr:row>
      <xdr:rowOff>65618</xdr:rowOff>
    </xdr:from>
    <xdr:to>
      <xdr:col>16</xdr:col>
      <xdr:colOff>227087</xdr:colOff>
      <xdr:row>37</xdr:row>
      <xdr:rowOff>152704</xdr:rowOff>
    </xdr:to>
    <xdr:graphicFrame macro="[0]!uitslag_GP">
      <xdr:nvGraphicFramePr>
        <xdr:cNvPr id="9217" name="Grafiek 47">
          <a:extLst>
            <a:ext uri="{FF2B5EF4-FFF2-40B4-BE49-F238E27FC236}">
              <a16:creationId xmlns:a16="http://schemas.microsoft.com/office/drawing/2014/main" id="{00000000-0008-0000-0900-000001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15</xdr:col>
      <xdr:colOff>313707</xdr:colOff>
      <xdr:row>3</xdr:row>
      <xdr:rowOff>9211</xdr:rowOff>
    </xdr:from>
    <xdr:to>
      <xdr:col>16</xdr:col>
      <xdr:colOff>585602</xdr:colOff>
      <xdr:row>5</xdr:row>
      <xdr:rowOff>55332</xdr:rowOff>
    </xdr:to>
    <xdr:sp macro="[0]!uitslag_GP" textlink="">
      <xdr:nvSpPr>
        <xdr:cNvPr id="11" name="Afgeronde rechthoek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/>
      </xdr:nvSpPr>
      <xdr:spPr>
        <a:xfrm>
          <a:off x="7143132" y="294961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race</a:t>
          </a:r>
        </a:p>
      </xdr:txBody>
    </xdr:sp>
    <xdr:clientData/>
  </xdr:twoCellAnchor>
  <xdr:twoCellAnchor editAs="absolute">
    <xdr:from>
      <xdr:col>6</xdr:col>
      <xdr:colOff>767640</xdr:colOff>
      <xdr:row>3</xdr:row>
      <xdr:rowOff>9211</xdr:rowOff>
    </xdr:from>
    <xdr:to>
      <xdr:col>11</xdr:col>
      <xdr:colOff>39410</xdr:colOff>
      <xdr:row>5</xdr:row>
      <xdr:rowOff>55332</xdr:rowOff>
    </xdr:to>
    <xdr:sp macro="[0]!uitslag_KW" textlink="">
      <xdr:nvSpPr>
        <xdr:cNvPr id="12" name="Afgeronde rechthoek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/>
      </xdr:nvSpPr>
      <xdr:spPr>
        <a:xfrm>
          <a:off x="4863390" y="294961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kwalificatie</a:t>
          </a:r>
        </a:p>
      </xdr:txBody>
    </xdr:sp>
    <xdr:clientData/>
  </xdr:twoCellAnchor>
  <xdr:twoCellAnchor editAs="absolute">
    <xdr:from>
      <xdr:col>11</xdr:col>
      <xdr:colOff>110416</xdr:colOff>
      <xdr:row>3</xdr:row>
      <xdr:rowOff>10212</xdr:rowOff>
    </xdr:from>
    <xdr:to>
      <xdr:col>15</xdr:col>
      <xdr:colOff>248961</xdr:colOff>
      <xdr:row>5</xdr:row>
      <xdr:rowOff>56333</xdr:rowOff>
    </xdr:to>
    <xdr:sp macro="[0]!uitslag_SO" textlink="">
      <xdr:nvSpPr>
        <xdr:cNvPr id="13" name="Afgeronde rechthoek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/>
      </xdr:nvSpPr>
      <xdr:spPr>
        <a:xfrm>
          <a:off x="6006391" y="295962"/>
          <a:ext cx="1071995" cy="274721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startopstelling</a:t>
          </a:r>
        </a:p>
      </xdr:txBody>
    </xdr:sp>
    <xdr:clientData/>
  </xdr:twoCellAnchor>
  <xdr:twoCellAnchor editAs="absolute">
    <xdr:from>
      <xdr:col>5</xdr:col>
      <xdr:colOff>439490</xdr:colOff>
      <xdr:row>3</xdr:row>
      <xdr:rowOff>9180</xdr:rowOff>
    </xdr:from>
    <xdr:to>
      <xdr:col>6</xdr:col>
      <xdr:colOff>701860</xdr:colOff>
      <xdr:row>5</xdr:row>
      <xdr:rowOff>56805</xdr:rowOff>
    </xdr:to>
    <xdr:sp macro="[0]!uitslag_VT3" textlink="">
      <xdr:nvSpPr>
        <xdr:cNvPr id="14" name="Afgeronde rechthoek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/>
      </xdr:nvSpPr>
      <xdr:spPr>
        <a:xfrm>
          <a:off x="3725615" y="294930"/>
          <a:ext cx="107199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3</a:t>
          </a:r>
        </a:p>
      </xdr:txBody>
    </xdr:sp>
    <xdr:clientData/>
  </xdr:twoCellAnchor>
  <xdr:twoCellAnchor editAs="absolute">
    <xdr:from>
      <xdr:col>3</xdr:col>
      <xdr:colOff>596471</xdr:colOff>
      <xdr:row>3</xdr:row>
      <xdr:rowOff>7144</xdr:rowOff>
    </xdr:from>
    <xdr:to>
      <xdr:col>5</xdr:col>
      <xdr:colOff>373066</xdr:colOff>
      <xdr:row>5</xdr:row>
      <xdr:rowOff>54769</xdr:rowOff>
    </xdr:to>
    <xdr:sp macro="[0]!uitslag_VT2" textlink="">
      <xdr:nvSpPr>
        <xdr:cNvPr id="15" name="Afgeronde rechthoek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/>
      </xdr:nvSpPr>
      <xdr:spPr>
        <a:xfrm>
          <a:off x="2587196" y="292894"/>
          <a:ext cx="107199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2</a:t>
          </a:r>
        </a:p>
      </xdr:txBody>
    </xdr:sp>
    <xdr:clientData/>
  </xdr:twoCellAnchor>
  <xdr:twoCellAnchor editAs="absolute">
    <xdr:from>
      <xdr:col>1</xdr:col>
      <xdr:colOff>837085</xdr:colOff>
      <xdr:row>3</xdr:row>
      <xdr:rowOff>8437</xdr:rowOff>
    </xdr:from>
    <xdr:to>
      <xdr:col>3</xdr:col>
      <xdr:colOff>532285</xdr:colOff>
      <xdr:row>5</xdr:row>
      <xdr:rowOff>56062</xdr:rowOff>
    </xdr:to>
    <xdr:sp macro="[0]!uitslag_VT1" textlink="">
      <xdr:nvSpPr>
        <xdr:cNvPr id="16" name="Afgeronde rechthoek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/>
      </xdr:nvSpPr>
      <xdr:spPr>
        <a:xfrm>
          <a:off x="1446685" y="294187"/>
          <a:ext cx="1076325" cy="2762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NL" sz="1100"/>
            <a:t>vrije training 1</a:t>
          </a:r>
        </a:p>
      </xdr:txBody>
    </xdr:sp>
    <xdr:clientData/>
  </xdr:twoCellAnchor>
  <xdr:twoCellAnchor editAs="absolute">
    <xdr:from>
      <xdr:col>0</xdr:col>
      <xdr:colOff>307182</xdr:colOff>
      <xdr:row>3</xdr:row>
      <xdr:rowOff>10980</xdr:rowOff>
    </xdr:from>
    <xdr:to>
      <xdr:col>1</xdr:col>
      <xdr:colOff>777582</xdr:colOff>
      <xdr:row>5</xdr:row>
      <xdr:rowOff>59580</xdr:rowOff>
    </xdr:to>
    <xdr:sp macro="[0]!startpagina" textlink="">
      <xdr:nvSpPr>
        <xdr:cNvPr id="17" name="Afgeronde rechthoek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/>
      </xdr:nvSpPr>
      <xdr:spPr>
        <a:xfrm>
          <a:off x="307182" y="296730"/>
          <a:ext cx="1080000" cy="2772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>
              <a:solidFill>
                <a:schemeClr val="bg1"/>
              </a:solidFill>
            </a:rPr>
            <a:t>startpagina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307181</xdr:colOff>
      <xdr:row>3</xdr:row>
      <xdr:rowOff>11906</xdr:rowOff>
    </xdr:from>
    <xdr:to>
      <xdr:col>2</xdr:col>
      <xdr:colOff>593006</xdr:colOff>
      <xdr:row>5</xdr:row>
      <xdr:rowOff>3356</xdr:rowOff>
    </xdr:to>
    <xdr:sp macro="[0]!startpagina" textlink="">
      <xdr:nvSpPr>
        <xdr:cNvPr id="4" name="Afgeronde rechthoek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/>
      </xdr:nvSpPr>
      <xdr:spPr>
        <a:xfrm>
          <a:off x="307181" y="297656"/>
          <a:ext cx="1076400" cy="27720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>
              <a:solidFill>
                <a:schemeClr val="bg1"/>
              </a:solidFill>
            </a:rPr>
            <a:t>startpagina</a:t>
          </a:r>
        </a:p>
      </xdr:txBody>
    </xdr:sp>
    <xdr:clientData/>
  </xdr:twoCellAnchor>
  <xdr:twoCellAnchor editAs="absolute">
    <xdr:from>
      <xdr:col>2</xdr:col>
      <xdr:colOff>659606</xdr:colOff>
      <xdr:row>3</xdr:row>
      <xdr:rowOff>11906</xdr:rowOff>
    </xdr:from>
    <xdr:to>
      <xdr:col>5</xdr:col>
      <xdr:colOff>238626</xdr:colOff>
      <xdr:row>5</xdr:row>
      <xdr:rowOff>3356</xdr:rowOff>
    </xdr:to>
    <xdr:sp macro="[0]!stand_team" textlink="">
      <xdr:nvSpPr>
        <xdr:cNvPr id="3" name="Afgeronde rechthoek 3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1450181" y="297656"/>
          <a:ext cx="1064920" cy="27720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>
              <a:solidFill>
                <a:schemeClr val="bg1"/>
              </a:solidFill>
            </a:rPr>
            <a:t>stand teams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307182</xdr:colOff>
      <xdr:row>3</xdr:row>
      <xdr:rowOff>11906</xdr:rowOff>
    </xdr:from>
    <xdr:to>
      <xdr:col>2</xdr:col>
      <xdr:colOff>591207</xdr:colOff>
      <xdr:row>5</xdr:row>
      <xdr:rowOff>3356</xdr:rowOff>
    </xdr:to>
    <xdr:sp macro="[0]!startpagina" textlink="">
      <xdr:nvSpPr>
        <xdr:cNvPr id="4" name="Afgeronde rechthoek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/>
      </xdr:nvSpPr>
      <xdr:spPr>
        <a:xfrm>
          <a:off x="307182" y="307509"/>
          <a:ext cx="1078870" cy="280485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>
              <a:solidFill>
                <a:schemeClr val="bg1"/>
              </a:solidFill>
            </a:rPr>
            <a:t>startpagina</a:t>
          </a:r>
        </a:p>
      </xdr:txBody>
    </xdr:sp>
    <xdr:clientData/>
  </xdr:twoCellAnchor>
  <xdr:twoCellAnchor editAs="absolute">
    <xdr:from>
      <xdr:col>2</xdr:col>
      <xdr:colOff>659607</xdr:colOff>
      <xdr:row>3</xdr:row>
      <xdr:rowOff>11906</xdr:rowOff>
    </xdr:from>
    <xdr:to>
      <xdr:col>5</xdr:col>
      <xdr:colOff>248307</xdr:colOff>
      <xdr:row>5</xdr:row>
      <xdr:rowOff>3356</xdr:rowOff>
    </xdr:to>
    <xdr:sp macro="[0]!stand_rijder" textlink="">
      <xdr:nvSpPr>
        <xdr:cNvPr id="3" name="Afgeronde rechthoek 3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1450182" y="297656"/>
          <a:ext cx="1074600" cy="27720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>
              <a:solidFill>
                <a:schemeClr val="bg1"/>
              </a:solidFill>
            </a:rPr>
            <a:t>stand coureurs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118651</xdr:colOff>
      <xdr:row>7</xdr:row>
      <xdr:rowOff>20927</xdr:rowOff>
    </xdr:from>
    <xdr:to>
      <xdr:col>23</xdr:col>
      <xdr:colOff>336989</xdr:colOff>
      <xdr:row>39</xdr:row>
      <xdr:rowOff>62565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306705</xdr:colOff>
      <xdr:row>1</xdr:row>
      <xdr:rowOff>139065</xdr:rowOff>
    </xdr:from>
    <xdr:to>
      <xdr:col>2</xdr:col>
      <xdr:colOff>190680</xdr:colOff>
      <xdr:row>3</xdr:row>
      <xdr:rowOff>96225</xdr:rowOff>
    </xdr:to>
    <xdr:sp macro="[0]!startpagina" textlink="">
      <xdr:nvSpPr>
        <xdr:cNvPr id="3" name="Afgeronde rechthoek 3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306705" y="306705"/>
          <a:ext cx="1103175" cy="29244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>
              <a:solidFill>
                <a:schemeClr val="bg1"/>
              </a:solidFill>
            </a:rPr>
            <a:t>startpagina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307180</xdr:colOff>
      <xdr:row>3</xdr:row>
      <xdr:rowOff>11907</xdr:rowOff>
    </xdr:from>
    <xdr:to>
      <xdr:col>0</xdr:col>
      <xdr:colOff>1387180</xdr:colOff>
      <xdr:row>5</xdr:row>
      <xdr:rowOff>60507</xdr:rowOff>
    </xdr:to>
    <xdr:sp macro="[0]!startpagina" textlink="">
      <xdr:nvSpPr>
        <xdr:cNvPr id="4" name="Afgeronde rechthoek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/>
      </xdr:nvSpPr>
      <xdr:spPr>
        <a:xfrm>
          <a:off x="307180" y="297657"/>
          <a:ext cx="1080000" cy="27720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>
              <a:solidFill>
                <a:schemeClr val="bg1"/>
              </a:solidFill>
            </a:rPr>
            <a:t>startpagina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85725</xdr:rowOff>
        </xdr:from>
        <xdr:to>
          <xdr:col>5</xdr:col>
          <xdr:colOff>238125</xdr:colOff>
          <xdr:row>5</xdr:row>
          <xdr:rowOff>104775</xdr:rowOff>
        </xdr:to>
        <xdr:sp macro="" textlink="">
          <xdr:nvSpPr>
            <xdr:cNvPr id="22997" name="teamkeuze" descr="kies een team" hidden="1">
              <a:extLst>
                <a:ext uri="{63B3BB69-23CF-44E3-9099-C40C66FF867C}">
                  <a14:compatExt spid="_x0000_s22997"/>
                </a:ext>
                <a:ext uri="{FF2B5EF4-FFF2-40B4-BE49-F238E27FC236}">
                  <a16:creationId xmlns:a16="http://schemas.microsoft.com/office/drawing/2014/main" id="{00000000-0008-0000-0D00-0000D55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22289</xdr:colOff>
          <xdr:row>17</xdr:row>
          <xdr:rowOff>46909</xdr:rowOff>
        </xdr:from>
        <xdr:to>
          <xdr:col>4</xdr:col>
          <xdr:colOff>618922</xdr:colOff>
          <xdr:row>18</xdr:row>
          <xdr:rowOff>8738</xdr:rowOff>
        </xdr:to>
        <xdr:pic>
          <xdr:nvPicPr>
            <xdr:cNvPr id="11" name="Afbeelding 10">
              <a:extLst>
                <a:ext uri="{FF2B5EF4-FFF2-40B4-BE49-F238E27FC236}">
                  <a16:creationId xmlns:a16="http://schemas.microsoft.com/office/drawing/2014/main" id="{00000000-0008-0000-0D00-00000B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Landvlag1" spid="_x0000_s64216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3594164" y="2485309"/>
              <a:ext cx="596633" cy="257104"/>
            </a:xfrm>
            <a:prstGeom prst="rect">
              <a:avLst/>
            </a:prstGeom>
            <a:noFill/>
            <a:ln w="15875">
              <a:noFill/>
            </a:ln>
            <a:effectLst>
              <a:softEdge rad="12700"/>
            </a:effec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453333</xdr:colOff>
          <xdr:row>10</xdr:row>
          <xdr:rowOff>15469</xdr:rowOff>
        </xdr:from>
        <xdr:to>
          <xdr:col>6</xdr:col>
          <xdr:colOff>456629</xdr:colOff>
          <xdr:row>13</xdr:row>
          <xdr:rowOff>150824</xdr:rowOff>
        </xdr:to>
        <xdr:pic>
          <xdr:nvPicPr>
            <xdr:cNvPr id="12" name="Afbeelding 11">
              <a:extLst>
                <a:ext uri="{FF2B5EF4-FFF2-40B4-BE49-F238E27FC236}">
                  <a16:creationId xmlns:a16="http://schemas.microsoft.com/office/drawing/2014/main" id="{00000000-0008-0000-0D00-00000C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Teamlogo" spid="_x0000_s64217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5453958" y="1329919"/>
              <a:ext cx="1298696" cy="621130"/>
            </a:xfrm>
            <a:prstGeom prst="rect">
              <a:avLst/>
            </a:prstGeom>
            <a:noFill/>
            <a:ln w="15875">
              <a:noFill/>
            </a:ln>
            <a:effectLst>
              <a:softEdge rad="12700"/>
            </a:effec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20928</xdr:colOff>
          <xdr:row>17</xdr:row>
          <xdr:rowOff>48269</xdr:rowOff>
        </xdr:from>
        <xdr:to>
          <xdr:col>5</xdr:col>
          <xdr:colOff>617561</xdr:colOff>
          <xdr:row>18</xdr:row>
          <xdr:rowOff>10098</xdr:rowOff>
        </xdr:to>
        <xdr:pic>
          <xdr:nvPicPr>
            <xdr:cNvPr id="13" name="Afbeelding 12">
              <a:extLst>
                <a:ext uri="{FF2B5EF4-FFF2-40B4-BE49-F238E27FC236}">
                  <a16:creationId xmlns:a16="http://schemas.microsoft.com/office/drawing/2014/main" id="{00000000-0008-0000-0D00-00000D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Landvlag2" spid="_x0000_s64218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5021553" y="2486669"/>
              <a:ext cx="596633" cy="257104"/>
            </a:xfrm>
            <a:prstGeom prst="rect">
              <a:avLst/>
            </a:prstGeom>
            <a:noFill/>
            <a:ln w="15875">
              <a:noFill/>
            </a:ln>
            <a:effectLst>
              <a:softEdge rad="12700"/>
            </a:effec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10</xdr:row>
          <xdr:rowOff>19050</xdr:rowOff>
        </xdr:from>
        <xdr:to>
          <xdr:col>6</xdr:col>
          <xdr:colOff>457200</xdr:colOff>
          <xdr:row>13</xdr:row>
          <xdr:rowOff>152400</xdr:rowOff>
        </xdr:to>
        <xdr:pic>
          <xdr:nvPicPr>
            <xdr:cNvPr id="42490" name="Afbeelding 11">
              <a:extLst>
                <a:ext uri="{FF2B5EF4-FFF2-40B4-BE49-F238E27FC236}">
                  <a16:creationId xmlns:a16="http://schemas.microsoft.com/office/drawing/2014/main" id="{00000000-0008-0000-0D00-0000FAA5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Teamlogo" spid="_x0000_s6421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457825" y="1333500"/>
              <a:ext cx="1295400" cy="619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10</xdr:row>
          <xdr:rowOff>19050</xdr:rowOff>
        </xdr:from>
        <xdr:to>
          <xdr:col>6</xdr:col>
          <xdr:colOff>457200</xdr:colOff>
          <xdr:row>13</xdr:row>
          <xdr:rowOff>152400</xdr:rowOff>
        </xdr:to>
        <xdr:pic>
          <xdr:nvPicPr>
            <xdr:cNvPr id="42501" name="Picture 2565">
              <a:extLst>
                <a:ext uri="{FF2B5EF4-FFF2-40B4-BE49-F238E27FC236}">
                  <a16:creationId xmlns:a16="http://schemas.microsoft.com/office/drawing/2014/main" id="{00000000-0008-0000-0D00-000005A6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Teamlogo" spid="_x0000_s6422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457825" y="1333500"/>
              <a:ext cx="1295400" cy="619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10</xdr:row>
          <xdr:rowOff>19050</xdr:rowOff>
        </xdr:from>
        <xdr:to>
          <xdr:col>6</xdr:col>
          <xdr:colOff>457200</xdr:colOff>
          <xdr:row>13</xdr:row>
          <xdr:rowOff>152400</xdr:rowOff>
        </xdr:to>
        <xdr:pic>
          <xdr:nvPicPr>
            <xdr:cNvPr id="42617" name="Afbeelding 11">
              <a:extLst>
                <a:ext uri="{FF2B5EF4-FFF2-40B4-BE49-F238E27FC236}">
                  <a16:creationId xmlns:a16="http://schemas.microsoft.com/office/drawing/2014/main" id="{00000000-0008-0000-0D00-000079A6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Teamlogo" spid="_x0000_s64221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457825" y="1333500"/>
              <a:ext cx="1295400" cy="619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10</xdr:row>
          <xdr:rowOff>19050</xdr:rowOff>
        </xdr:from>
        <xdr:to>
          <xdr:col>6</xdr:col>
          <xdr:colOff>457200</xdr:colOff>
          <xdr:row>13</xdr:row>
          <xdr:rowOff>152400</xdr:rowOff>
        </xdr:to>
        <xdr:pic>
          <xdr:nvPicPr>
            <xdr:cNvPr id="42769" name="Picture 2833">
              <a:extLst>
                <a:ext uri="{FF2B5EF4-FFF2-40B4-BE49-F238E27FC236}">
                  <a16:creationId xmlns:a16="http://schemas.microsoft.com/office/drawing/2014/main" id="{00000000-0008-0000-0D00-000011A7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Teamlogo" spid="_x0000_s6422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457825" y="1333500"/>
              <a:ext cx="1295400" cy="619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17</xdr:row>
          <xdr:rowOff>47625</xdr:rowOff>
        </xdr:from>
        <xdr:to>
          <xdr:col>4</xdr:col>
          <xdr:colOff>619125</xdr:colOff>
          <xdr:row>18</xdr:row>
          <xdr:rowOff>9525</xdr:rowOff>
        </xdr:to>
        <xdr:pic>
          <xdr:nvPicPr>
            <xdr:cNvPr id="42874" name="Afbeelding 10">
              <a:extLst>
                <a:ext uri="{FF2B5EF4-FFF2-40B4-BE49-F238E27FC236}">
                  <a16:creationId xmlns:a16="http://schemas.microsoft.com/office/drawing/2014/main" id="{00000000-0008-0000-0D00-00007AA7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andvlag1" spid="_x0000_s64223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3600450" y="2486025"/>
              <a:ext cx="590550" cy="2571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10</xdr:row>
          <xdr:rowOff>19050</xdr:rowOff>
        </xdr:from>
        <xdr:to>
          <xdr:col>6</xdr:col>
          <xdr:colOff>457200</xdr:colOff>
          <xdr:row>13</xdr:row>
          <xdr:rowOff>152400</xdr:rowOff>
        </xdr:to>
        <xdr:pic>
          <xdr:nvPicPr>
            <xdr:cNvPr id="42932" name="Afbeelding 11">
              <a:extLst>
                <a:ext uri="{FF2B5EF4-FFF2-40B4-BE49-F238E27FC236}">
                  <a16:creationId xmlns:a16="http://schemas.microsoft.com/office/drawing/2014/main" id="{00000000-0008-0000-0D00-0000B4A7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Teamlogo" spid="_x0000_s6422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457825" y="1333500"/>
              <a:ext cx="1295400" cy="619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23</xdr:row>
      <xdr:rowOff>0</xdr:rowOff>
    </xdr:from>
    <xdr:to>
      <xdr:col>1</xdr:col>
      <xdr:colOff>571500</xdr:colOff>
      <xdr:row>24</xdr:row>
      <xdr:rowOff>76200</xdr:rowOff>
    </xdr:to>
    <xdr:sp macro="[0]!Invulbladen" textlink="">
      <xdr:nvSpPr>
        <xdr:cNvPr id="6" name="Afgeronde rechthoek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47625" y="4162425"/>
          <a:ext cx="1047750" cy="23812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 b="0"/>
            <a:t>voorblad</a:t>
          </a:r>
        </a:p>
      </xdr:txBody>
    </xdr:sp>
    <xdr:clientData/>
  </xdr:twoCellAnchor>
  <xdr:twoCellAnchor>
    <xdr:from>
      <xdr:col>0</xdr:col>
      <xdr:colOff>47625</xdr:colOff>
      <xdr:row>25</xdr:row>
      <xdr:rowOff>0</xdr:rowOff>
    </xdr:from>
    <xdr:to>
      <xdr:col>1</xdr:col>
      <xdr:colOff>571500</xdr:colOff>
      <xdr:row>26</xdr:row>
      <xdr:rowOff>76200</xdr:rowOff>
    </xdr:to>
    <xdr:sp macro="[0]!Sorteren" textlink="">
      <xdr:nvSpPr>
        <xdr:cNvPr id="7" name="Afgeronde rechthoek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/>
      </xdr:nvSpPr>
      <xdr:spPr>
        <a:xfrm>
          <a:off x="47625" y="4486275"/>
          <a:ext cx="1047750" cy="23812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 b="0"/>
            <a:t>sorteren</a:t>
          </a:r>
        </a:p>
      </xdr:txBody>
    </xdr:sp>
    <xdr:clientData/>
  </xdr:twoCellAnchor>
  <xdr:twoCellAnchor>
    <xdr:from>
      <xdr:col>25</xdr:col>
      <xdr:colOff>550333</xdr:colOff>
      <xdr:row>22</xdr:row>
      <xdr:rowOff>31750</xdr:rowOff>
    </xdr:from>
    <xdr:to>
      <xdr:col>30</xdr:col>
      <xdr:colOff>0</xdr:colOff>
      <xdr:row>28</xdr:row>
      <xdr:rowOff>95250</xdr:rowOff>
    </xdr:to>
    <xdr:cxnSp macro="">
      <xdr:nvCxnSpPr>
        <xdr:cNvPr id="3" name="Verbindingslijn: gebogen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CxnSpPr/>
      </xdr:nvCxnSpPr>
      <xdr:spPr>
        <a:xfrm>
          <a:off x="4995333" y="4222750"/>
          <a:ext cx="3217334" cy="1016000"/>
        </a:xfrm>
        <a:prstGeom prst="bentConnector3">
          <a:avLst>
            <a:gd name="adj1" fmla="val 329"/>
          </a:avLst>
        </a:prstGeom>
        <a:ln w="38100">
          <a:solidFill>
            <a:schemeClr val="bg1">
              <a:lumMod val="85000"/>
            </a:schemeClr>
          </a:solidFill>
          <a:tailEnd type="triangle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86</xdr:row>
      <xdr:rowOff>19050</xdr:rowOff>
    </xdr:from>
    <xdr:to>
      <xdr:col>1</xdr:col>
      <xdr:colOff>352425</xdr:colOff>
      <xdr:row>87</xdr:row>
      <xdr:rowOff>95250</xdr:rowOff>
    </xdr:to>
    <xdr:sp macro="[0]!Invulbladen" textlink="">
      <xdr:nvSpPr>
        <xdr:cNvPr id="4" name="Afgeronde rechthoe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/>
      </xdr:nvSpPr>
      <xdr:spPr>
        <a:xfrm>
          <a:off x="47625" y="15640050"/>
          <a:ext cx="1047750" cy="23812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 b="0"/>
            <a:t>voorblad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12</xdr:row>
      <xdr:rowOff>171450</xdr:rowOff>
    </xdr:from>
    <xdr:to>
      <xdr:col>1</xdr:col>
      <xdr:colOff>390525</xdr:colOff>
      <xdr:row>14</xdr:row>
      <xdr:rowOff>28575</xdr:rowOff>
    </xdr:to>
    <xdr:sp macro="[0]!Invulbladen" textlink="">
      <xdr:nvSpPr>
        <xdr:cNvPr id="4" name="Afgeronde rechthoe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/>
      </xdr:nvSpPr>
      <xdr:spPr>
        <a:xfrm>
          <a:off x="57150" y="2647950"/>
          <a:ext cx="1047750" cy="23812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 b="0"/>
            <a:t>voorblad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23</xdr:row>
      <xdr:rowOff>9525</xdr:rowOff>
    </xdr:from>
    <xdr:to>
      <xdr:col>1</xdr:col>
      <xdr:colOff>371475</xdr:colOff>
      <xdr:row>24</xdr:row>
      <xdr:rowOff>85725</xdr:rowOff>
    </xdr:to>
    <xdr:sp macro="[0]!Invulbladen" textlink="">
      <xdr:nvSpPr>
        <xdr:cNvPr id="3" name="Afgeronde rechthoek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66675" y="4171950"/>
          <a:ext cx="1047750" cy="23812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 b="0"/>
            <a:t>voorblad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14</xdr:row>
      <xdr:rowOff>9525</xdr:rowOff>
    </xdr:from>
    <xdr:to>
      <xdr:col>1</xdr:col>
      <xdr:colOff>161925</xdr:colOff>
      <xdr:row>15</xdr:row>
      <xdr:rowOff>0</xdr:rowOff>
    </xdr:to>
    <xdr:sp macro="[0]!Invulbladen" textlink="">
      <xdr:nvSpPr>
        <xdr:cNvPr id="15" name="Afgeronde rechthoek 1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SpPr/>
      </xdr:nvSpPr>
      <xdr:spPr>
        <a:xfrm>
          <a:off x="171450" y="9991725"/>
          <a:ext cx="1047750" cy="23812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NL" sz="1100" b="0"/>
            <a:t>voorblad</a:t>
          </a:r>
        </a:p>
      </xdr:txBody>
    </xdr:sp>
    <xdr:clientData/>
  </xdr:twoCellAnchor>
  <xdr:oneCellAnchor>
    <xdr:from>
      <xdr:col>3</xdr:col>
      <xdr:colOff>10862</xdr:colOff>
      <xdr:row>40</xdr:row>
      <xdr:rowOff>11112</xdr:rowOff>
    </xdr:from>
    <xdr:ext cx="334800" cy="216364"/>
    <xdr:pic>
      <xdr:nvPicPr>
        <xdr:cNvPr id="116" name="Afbeelding 115">
          <a:extLst>
            <a:ext uri="{FF2B5EF4-FFF2-40B4-BE49-F238E27FC236}">
              <a16:creationId xmlns:a16="http://schemas.microsoft.com/office/drawing/2014/main" id="{00000000-0008-0000-12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8041" y="15931469"/>
          <a:ext cx="334800" cy="216364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14</xdr:row>
      <xdr:rowOff>10026</xdr:rowOff>
    </xdr:from>
    <xdr:ext cx="333375" cy="223838"/>
    <xdr:pic>
      <xdr:nvPicPr>
        <xdr:cNvPr id="117" name="Afbeelding 116">
          <a:extLst>
            <a:ext uri="{FF2B5EF4-FFF2-40B4-BE49-F238E27FC236}">
              <a16:creationId xmlns:a16="http://schemas.microsoft.com/office/drawing/2014/main" id="{00000000-0008-0000-12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0052097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41</xdr:row>
      <xdr:rowOff>10026</xdr:rowOff>
    </xdr:from>
    <xdr:ext cx="333375" cy="223838"/>
    <xdr:pic>
      <xdr:nvPicPr>
        <xdr:cNvPr id="118" name="Afbeelding 117">
          <a:extLst>
            <a:ext uri="{FF2B5EF4-FFF2-40B4-BE49-F238E27FC236}">
              <a16:creationId xmlns:a16="http://schemas.microsoft.com/office/drawing/2014/main" id="{00000000-0008-0000-12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6175312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38</xdr:row>
      <xdr:rowOff>10026</xdr:rowOff>
    </xdr:from>
    <xdr:ext cx="333375" cy="223838"/>
    <xdr:pic>
      <xdr:nvPicPr>
        <xdr:cNvPr id="119" name="Afbeelding 118">
          <a:extLst>
            <a:ext uri="{FF2B5EF4-FFF2-40B4-BE49-F238E27FC236}">
              <a16:creationId xmlns:a16="http://schemas.microsoft.com/office/drawing/2014/main" id="{00000000-0008-0000-12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5685455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15</xdr:row>
      <xdr:rowOff>10026</xdr:rowOff>
    </xdr:from>
    <xdr:ext cx="333375" cy="223838"/>
    <xdr:pic>
      <xdr:nvPicPr>
        <xdr:cNvPr id="120" name="Afbeelding 119">
          <a:extLst>
            <a:ext uri="{FF2B5EF4-FFF2-40B4-BE49-F238E27FC236}">
              <a16:creationId xmlns:a16="http://schemas.microsoft.com/office/drawing/2014/main" id="{00000000-0008-0000-12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0297026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16</xdr:row>
      <xdr:rowOff>10026</xdr:rowOff>
    </xdr:from>
    <xdr:ext cx="333375" cy="223838"/>
    <xdr:pic>
      <xdr:nvPicPr>
        <xdr:cNvPr id="121" name="Afbeelding 120">
          <a:extLst>
            <a:ext uri="{FF2B5EF4-FFF2-40B4-BE49-F238E27FC236}">
              <a16:creationId xmlns:a16="http://schemas.microsoft.com/office/drawing/2014/main" id="{00000000-0008-0000-12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0541955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17</xdr:row>
      <xdr:rowOff>10026</xdr:rowOff>
    </xdr:from>
    <xdr:ext cx="333375" cy="223838"/>
    <xdr:pic>
      <xdr:nvPicPr>
        <xdr:cNvPr id="122" name="Afbeelding 121">
          <a:extLst>
            <a:ext uri="{FF2B5EF4-FFF2-40B4-BE49-F238E27FC236}">
              <a16:creationId xmlns:a16="http://schemas.microsoft.com/office/drawing/2014/main" id="{00000000-0008-0000-12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0786883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18</xdr:row>
      <xdr:rowOff>10026</xdr:rowOff>
    </xdr:from>
    <xdr:ext cx="333375" cy="223838"/>
    <xdr:pic>
      <xdr:nvPicPr>
        <xdr:cNvPr id="123" name="Afbeelding 122">
          <a:extLst>
            <a:ext uri="{FF2B5EF4-FFF2-40B4-BE49-F238E27FC236}">
              <a16:creationId xmlns:a16="http://schemas.microsoft.com/office/drawing/2014/main" id="{00000000-0008-0000-12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1031812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19</xdr:row>
      <xdr:rowOff>10026</xdr:rowOff>
    </xdr:from>
    <xdr:ext cx="333375" cy="223838"/>
    <xdr:pic>
      <xdr:nvPicPr>
        <xdr:cNvPr id="124" name="Afbeelding 123">
          <a:extLst>
            <a:ext uri="{FF2B5EF4-FFF2-40B4-BE49-F238E27FC236}">
              <a16:creationId xmlns:a16="http://schemas.microsoft.com/office/drawing/2014/main" id="{00000000-0008-0000-12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1276740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20</xdr:row>
      <xdr:rowOff>10026</xdr:rowOff>
    </xdr:from>
    <xdr:ext cx="333375" cy="223838"/>
    <xdr:pic>
      <xdr:nvPicPr>
        <xdr:cNvPr id="125" name="Afbeelding 124">
          <a:extLst>
            <a:ext uri="{FF2B5EF4-FFF2-40B4-BE49-F238E27FC236}">
              <a16:creationId xmlns:a16="http://schemas.microsoft.com/office/drawing/2014/main" id="{00000000-0008-0000-12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1521669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21</xdr:row>
      <xdr:rowOff>10026</xdr:rowOff>
    </xdr:from>
    <xdr:ext cx="333375" cy="223838"/>
    <xdr:pic>
      <xdr:nvPicPr>
        <xdr:cNvPr id="126" name="Afbeelding 125">
          <a:extLst>
            <a:ext uri="{FF2B5EF4-FFF2-40B4-BE49-F238E27FC236}">
              <a16:creationId xmlns:a16="http://schemas.microsoft.com/office/drawing/2014/main" id="{00000000-0008-0000-12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1766597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22</xdr:row>
      <xdr:rowOff>10026</xdr:rowOff>
    </xdr:from>
    <xdr:ext cx="333375" cy="223838"/>
    <xdr:pic>
      <xdr:nvPicPr>
        <xdr:cNvPr id="127" name="Afbeelding 126">
          <a:extLst>
            <a:ext uri="{FF2B5EF4-FFF2-40B4-BE49-F238E27FC236}">
              <a16:creationId xmlns:a16="http://schemas.microsoft.com/office/drawing/2014/main" id="{00000000-0008-0000-12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2011526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23</xdr:row>
      <xdr:rowOff>10026</xdr:rowOff>
    </xdr:from>
    <xdr:ext cx="333375" cy="223838"/>
    <xdr:pic>
      <xdr:nvPicPr>
        <xdr:cNvPr id="128" name="Afbeelding 127">
          <a:extLst>
            <a:ext uri="{FF2B5EF4-FFF2-40B4-BE49-F238E27FC236}">
              <a16:creationId xmlns:a16="http://schemas.microsoft.com/office/drawing/2014/main" id="{00000000-0008-0000-12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2256455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24</xdr:row>
      <xdr:rowOff>10026</xdr:rowOff>
    </xdr:from>
    <xdr:ext cx="333375" cy="223838"/>
    <xdr:pic>
      <xdr:nvPicPr>
        <xdr:cNvPr id="129" name="Afbeelding 128">
          <a:extLst>
            <a:ext uri="{FF2B5EF4-FFF2-40B4-BE49-F238E27FC236}">
              <a16:creationId xmlns:a16="http://schemas.microsoft.com/office/drawing/2014/main" id="{00000000-0008-0000-12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2501383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25</xdr:row>
      <xdr:rowOff>10026</xdr:rowOff>
    </xdr:from>
    <xdr:ext cx="333375" cy="223838"/>
    <xdr:pic>
      <xdr:nvPicPr>
        <xdr:cNvPr id="130" name="Afbeelding 129">
          <a:extLst>
            <a:ext uri="{FF2B5EF4-FFF2-40B4-BE49-F238E27FC236}">
              <a16:creationId xmlns:a16="http://schemas.microsoft.com/office/drawing/2014/main" id="{00000000-0008-0000-12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2746312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26</xdr:row>
      <xdr:rowOff>10026</xdr:rowOff>
    </xdr:from>
    <xdr:ext cx="333375" cy="223838"/>
    <xdr:pic>
      <xdr:nvPicPr>
        <xdr:cNvPr id="131" name="Afbeelding 130">
          <a:extLst>
            <a:ext uri="{FF2B5EF4-FFF2-40B4-BE49-F238E27FC236}">
              <a16:creationId xmlns:a16="http://schemas.microsoft.com/office/drawing/2014/main" id="{00000000-0008-0000-12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2991240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27</xdr:row>
      <xdr:rowOff>10026</xdr:rowOff>
    </xdr:from>
    <xdr:ext cx="333375" cy="223838"/>
    <xdr:pic>
      <xdr:nvPicPr>
        <xdr:cNvPr id="132" name="Afbeelding 131">
          <a:extLst>
            <a:ext uri="{FF2B5EF4-FFF2-40B4-BE49-F238E27FC236}">
              <a16:creationId xmlns:a16="http://schemas.microsoft.com/office/drawing/2014/main" id="{00000000-0008-0000-12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3236169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28</xdr:row>
      <xdr:rowOff>10026</xdr:rowOff>
    </xdr:from>
    <xdr:ext cx="333375" cy="223838"/>
    <xdr:pic>
      <xdr:nvPicPr>
        <xdr:cNvPr id="133" name="Afbeelding 132">
          <a:extLst>
            <a:ext uri="{FF2B5EF4-FFF2-40B4-BE49-F238E27FC236}">
              <a16:creationId xmlns:a16="http://schemas.microsoft.com/office/drawing/2014/main" id="{00000000-0008-0000-12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3481097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29</xdr:row>
      <xdr:rowOff>10026</xdr:rowOff>
    </xdr:from>
    <xdr:ext cx="333375" cy="223838"/>
    <xdr:pic>
      <xdr:nvPicPr>
        <xdr:cNvPr id="134" name="Afbeelding 133">
          <a:extLst>
            <a:ext uri="{FF2B5EF4-FFF2-40B4-BE49-F238E27FC236}">
              <a16:creationId xmlns:a16="http://schemas.microsoft.com/office/drawing/2014/main" id="{00000000-0008-0000-12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3726026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30</xdr:row>
      <xdr:rowOff>10026</xdr:rowOff>
    </xdr:from>
    <xdr:ext cx="333375" cy="223838"/>
    <xdr:pic>
      <xdr:nvPicPr>
        <xdr:cNvPr id="135" name="Afbeelding 134">
          <a:extLst>
            <a:ext uri="{FF2B5EF4-FFF2-40B4-BE49-F238E27FC236}">
              <a16:creationId xmlns:a16="http://schemas.microsoft.com/office/drawing/2014/main" id="{00000000-0008-0000-12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3970955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31</xdr:row>
      <xdr:rowOff>10026</xdr:rowOff>
    </xdr:from>
    <xdr:ext cx="333375" cy="223838"/>
    <xdr:pic>
      <xdr:nvPicPr>
        <xdr:cNvPr id="136" name="Afbeelding 135">
          <a:extLst>
            <a:ext uri="{FF2B5EF4-FFF2-40B4-BE49-F238E27FC236}">
              <a16:creationId xmlns:a16="http://schemas.microsoft.com/office/drawing/2014/main" id="{00000000-0008-0000-1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4215883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32</xdr:row>
      <xdr:rowOff>10026</xdr:rowOff>
    </xdr:from>
    <xdr:ext cx="333375" cy="223838"/>
    <xdr:pic>
      <xdr:nvPicPr>
        <xdr:cNvPr id="137" name="Afbeelding 136">
          <a:extLst>
            <a:ext uri="{FF2B5EF4-FFF2-40B4-BE49-F238E27FC236}">
              <a16:creationId xmlns:a16="http://schemas.microsoft.com/office/drawing/2014/main" id="{00000000-0008-0000-12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4460812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33</xdr:row>
      <xdr:rowOff>10026</xdr:rowOff>
    </xdr:from>
    <xdr:ext cx="333375" cy="223838"/>
    <xdr:pic>
      <xdr:nvPicPr>
        <xdr:cNvPr id="138" name="Afbeelding 137">
          <a:extLst>
            <a:ext uri="{FF2B5EF4-FFF2-40B4-BE49-F238E27FC236}">
              <a16:creationId xmlns:a16="http://schemas.microsoft.com/office/drawing/2014/main" id="{00000000-0008-0000-1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4705740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34</xdr:row>
      <xdr:rowOff>10026</xdr:rowOff>
    </xdr:from>
    <xdr:ext cx="333375" cy="223838"/>
    <xdr:pic>
      <xdr:nvPicPr>
        <xdr:cNvPr id="139" name="Afbeelding 138">
          <a:extLst>
            <a:ext uri="{FF2B5EF4-FFF2-40B4-BE49-F238E27FC236}">
              <a16:creationId xmlns:a16="http://schemas.microsoft.com/office/drawing/2014/main" id="{00000000-0008-0000-12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4950669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36</xdr:row>
      <xdr:rowOff>10026</xdr:rowOff>
    </xdr:from>
    <xdr:ext cx="333375" cy="223838"/>
    <xdr:pic>
      <xdr:nvPicPr>
        <xdr:cNvPr id="140" name="Afbeelding 139">
          <a:extLst>
            <a:ext uri="{FF2B5EF4-FFF2-40B4-BE49-F238E27FC236}">
              <a16:creationId xmlns:a16="http://schemas.microsoft.com/office/drawing/2014/main" id="{00000000-0008-0000-1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5195597"/>
          <a:ext cx="333375" cy="223838"/>
        </a:xfrm>
        <a:prstGeom prst="rect">
          <a:avLst/>
        </a:prstGeom>
      </xdr:spPr>
    </xdr:pic>
    <xdr:clientData/>
  </xdr:oneCellAnchor>
  <xdr:oneCellAnchor>
    <xdr:from>
      <xdr:col>3</xdr:col>
      <xdr:colOff>10027</xdr:colOff>
      <xdr:row>37</xdr:row>
      <xdr:rowOff>10026</xdr:rowOff>
    </xdr:from>
    <xdr:ext cx="333375" cy="223838"/>
    <xdr:pic>
      <xdr:nvPicPr>
        <xdr:cNvPr id="141" name="Afbeelding 140">
          <a:extLst>
            <a:ext uri="{FF2B5EF4-FFF2-40B4-BE49-F238E27FC236}">
              <a16:creationId xmlns:a16="http://schemas.microsoft.com/office/drawing/2014/main" id="{00000000-0008-0000-12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7206" y="15440526"/>
          <a:ext cx="333375" cy="223838"/>
        </a:xfrm>
        <a:prstGeom prst="rect">
          <a:avLst/>
        </a:prstGeom>
      </xdr:spPr>
    </xdr:pic>
    <xdr:clientData/>
  </xdr:oneCellAnchor>
  <xdr:twoCellAnchor editAs="oneCell">
    <xdr:from>
      <xdr:col>3</xdr:col>
      <xdr:colOff>12917</xdr:colOff>
      <xdr:row>35</xdr:row>
      <xdr:rowOff>16143</xdr:rowOff>
    </xdr:from>
    <xdr:to>
      <xdr:col>3</xdr:col>
      <xdr:colOff>346292</xdr:colOff>
      <xdr:row>35</xdr:row>
      <xdr:rowOff>239981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8739" y="15214168"/>
          <a:ext cx="333375" cy="22383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66676</xdr:colOff>
      <xdr:row>10</xdr:row>
      <xdr:rowOff>57151</xdr:rowOff>
    </xdr:from>
    <xdr:to>
      <xdr:col>1</xdr:col>
      <xdr:colOff>1726104</xdr:colOff>
      <xdr:row>10</xdr:row>
      <xdr:rowOff>849151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51" y="8620126"/>
          <a:ext cx="1659428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66676</xdr:colOff>
      <xdr:row>9</xdr:row>
      <xdr:rowOff>66676</xdr:rowOff>
    </xdr:from>
    <xdr:to>
      <xdr:col>1</xdr:col>
      <xdr:colOff>1726104</xdr:colOff>
      <xdr:row>9</xdr:row>
      <xdr:rowOff>858676</xdr:rowOff>
    </xdr:to>
    <xdr:pic>
      <xdr:nvPicPr>
        <xdr:cNvPr id="8" name="Afbeelding 7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51" y="7696201"/>
          <a:ext cx="1659428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8</xdr:row>
      <xdr:rowOff>76201</xdr:rowOff>
    </xdr:from>
    <xdr:to>
      <xdr:col>1</xdr:col>
      <xdr:colOff>1688003</xdr:colOff>
      <xdr:row>8</xdr:row>
      <xdr:rowOff>868201</xdr:rowOff>
    </xdr:to>
    <xdr:pic>
      <xdr:nvPicPr>
        <xdr:cNvPr id="12" name="Afbeelding 11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6772276"/>
          <a:ext cx="1659428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66680</xdr:colOff>
      <xdr:row>7</xdr:row>
      <xdr:rowOff>76200</xdr:rowOff>
    </xdr:from>
    <xdr:to>
      <xdr:col>1</xdr:col>
      <xdr:colOff>1726107</xdr:colOff>
      <xdr:row>7</xdr:row>
      <xdr:rowOff>868200</xdr:rowOff>
    </xdr:to>
    <xdr:pic>
      <xdr:nvPicPr>
        <xdr:cNvPr id="16" name="Afbeelding 15">
          <a:extLst>
            <a:ext uri="{FF2B5EF4-FFF2-40B4-BE49-F238E27FC236}">
              <a16:creationId xmlns:a16="http://schemas.microsoft.com/office/drawing/2014/main" id="{00000000-0008-0000-1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55" y="5838825"/>
          <a:ext cx="1659427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6</xdr:row>
      <xdr:rowOff>76200</xdr:rowOff>
    </xdr:from>
    <xdr:to>
      <xdr:col>1</xdr:col>
      <xdr:colOff>1688003</xdr:colOff>
      <xdr:row>6</xdr:row>
      <xdr:rowOff>868200</xdr:rowOff>
    </xdr:to>
    <xdr:pic>
      <xdr:nvPicPr>
        <xdr:cNvPr id="19" name="Afbeelding 18">
          <a:extLst>
            <a:ext uri="{FF2B5EF4-FFF2-40B4-BE49-F238E27FC236}">
              <a16:creationId xmlns:a16="http://schemas.microsoft.com/office/drawing/2014/main" id="{00000000-0008-0000-1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4905375"/>
          <a:ext cx="1659428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66694</xdr:colOff>
      <xdr:row>5</xdr:row>
      <xdr:rowOff>76200</xdr:rowOff>
    </xdr:from>
    <xdr:to>
      <xdr:col>1</xdr:col>
      <xdr:colOff>1726121</xdr:colOff>
      <xdr:row>5</xdr:row>
      <xdr:rowOff>868200</xdr:rowOff>
    </xdr:to>
    <xdr:pic>
      <xdr:nvPicPr>
        <xdr:cNvPr id="21" name="Afbeelding 20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69" y="3971925"/>
          <a:ext cx="1659427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4</xdr:row>
      <xdr:rowOff>76200</xdr:rowOff>
    </xdr:from>
    <xdr:to>
      <xdr:col>1</xdr:col>
      <xdr:colOff>1716578</xdr:colOff>
      <xdr:row>4</xdr:row>
      <xdr:rowOff>868200</xdr:rowOff>
    </xdr:to>
    <xdr:pic>
      <xdr:nvPicPr>
        <xdr:cNvPr id="23" name="Afbeelding 22">
          <a:extLst>
            <a:ext uri="{FF2B5EF4-FFF2-40B4-BE49-F238E27FC236}">
              <a16:creationId xmlns:a16="http://schemas.microsoft.com/office/drawing/2014/main" id="{00000000-0008-0000-1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5" y="3038475"/>
          <a:ext cx="1659428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3</xdr:row>
      <xdr:rowOff>66676</xdr:rowOff>
    </xdr:from>
    <xdr:to>
      <xdr:col>1</xdr:col>
      <xdr:colOff>1697530</xdr:colOff>
      <xdr:row>3</xdr:row>
      <xdr:rowOff>858676</xdr:rowOff>
    </xdr:to>
    <xdr:pic>
      <xdr:nvPicPr>
        <xdr:cNvPr id="25" name="Afbeelding 24">
          <a:extLst>
            <a:ext uri="{FF2B5EF4-FFF2-40B4-BE49-F238E27FC236}">
              <a16:creationId xmlns:a16="http://schemas.microsoft.com/office/drawing/2014/main" id="{00000000-0008-0000-1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5376" y="2095501"/>
          <a:ext cx="1659429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2</xdr:row>
      <xdr:rowOff>76201</xdr:rowOff>
    </xdr:from>
    <xdr:to>
      <xdr:col>1</xdr:col>
      <xdr:colOff>1745153</xdr:colOff>
      <xdr:row>2</xdr:row>
      <xdr:rowOff>868201</xdr:rowOff>
    </xdr:to>
    <xdr:pic>
      <xdr:nvPicPr>
        <xdr:cNvPr id="27" name="Afbeelding 26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1171576"/>
          <a:ext cx="1659428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247650</xdr:colOff>
      <xdr:row>1</xdr:row>
      <xdr:rowOff>142874</xdr:rowOff>
    </xdr:from>
    <xdr:to>
      <xdr:col>1</xdr:col>
      <xdr:colOff>1743075</xdr:colOff>
      <xdr:row>1</xdr:row>
      <xdr:rowOff>856599</xdr:rowOff>
    </xdr:to>
    <xdr:pic>
      <xdr:nvPicPr>
        <xdr:cNvPr id="31" name="Afbeelding 30">
          <a:extLst>
            <a:ext uri="{FF2B5EF4-FFF2-40B4-BE49-F238E27FC236}">
              <a16:creationId xmlns:a16="http://schemas.microsoft.com/office/drawing/2014/main" id="{00000000-0008-0000-12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48" t="4942" r="4848" b="4942"/>
        <a:stretch/>
      </xdr:blipFill>
      <xdr:spPr>
        <a:xfrm>
          <a:off x="1304925" y="304799"/>
          <a:ext cx="1495425" cy="713725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114300</xdr:colOff>
      <xdr:row>1</xdr:row>
      <xdr:rowOff>171450</xdr:rowOff>
    </xdr:from>
    <xdr:to>
      <xdr:col>5</xdr:col>
      <xdr:colOff>2076450</xdr:colOff>
      <xdr:row>1</xdr:row>
      <xdr:rowOff>752475</xdr:rowOff>
    </xdr:to>
    <xdr:pic>
      <xdr:nvPicPr>
        <xdr:cNvPr id="5" name="Afbeelding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2775" y="333375"/>
          <a:ext cx="1962150" cy="581025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114300</xdr:colOff>
      <xdr:row>2</xdr:row>
      <xdr:rowOff>152400</xdr:rowOff>
    </xdr:from>
    <xdr:to>
      <xdr:col>5</xdr:col>
      <xdr:colOff>2076450</xdr:colOff>
      <xdr:row>2</xdr:row>
      <xdr:rowOff>733425</xdr:rowOff>
    </xdr:to>
    <xdr:pic>
      <xdr:nvPicPr>
        <xdr:cNvPr id="7" name="Afbeelding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2775" y="1247775"/>
          <a:ext cx="1962150" cy="581025"/>
        </a:xfrm>
        <a:prstGeom prst="rect">
          <a:avLst/>
        </a:prstGeom>
      </xdr:spPr>
    </xdr:pic>
    <xdr:clientData/>
  </xdr:twoCellAnchor>
  <xdr:twoCellAnchor editAs="oneCell">
    <xdr:from>
      <xdr:col>5</xdr:col>
      <xdr:colOff>104775</xdr:colOff>
      <xdr:row>3</xdr:row>
      <xdr:rowOff>161925</xdr:rowOff>
    </xdr:from>
    <xdr:to>
      <xdr:col>5</xdr:col>
      <xdr:colOff>2066925</xdr:colOff>
      <xdr:row>3</xdr:row>
      <xdr:rowOff>742950</xdr:rowOff>
    </xdr:to>
    <xdr:pic>
      <xdr:nvPicPr>
        <xdr:cNvPr id="10" name="Afbeelding 9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190750"/>
          <a:ext cx="1962150" cy="581025"/>
        </a:xfrm>
        <a:prstGeom prst="rect">
          <a:avLst/>
        </a:prstGeom>
      </xdr:spPr>
    </xdr:pic>
    <xdr:clientData/>
  </xdr:twoCellAnchor>
  <xdr:twoCellAnchor editAs="oneCell">
    <xdr:from>
      <xdr:col>5</xdr:col>
      <xdr:colOff>142875</xdr:colOff>
      <xdr:row>4</xdr:row>
      <xdr:rowOff>180975</xdr:rowOff>
    </xdr:from>
    <xdr:to>
      <xdr:col>5</xdr:col>
      <xdr:colOff>2105025</xdr:colOff>
      <xdr:row>4</xdr:row>
      <xdr:rowOff>762000</xdr:rowOff>
    </xdr:to>
    <xdr:pic>
      <xdr:nvPicPr>
        <xdr:cNvPr id="13" name="Afbeelding 12">
          <a:extLst>
            <a:ext uri="{FF2B5EF4-FFF2-40B4-BE49-F238E27FC236}">
              <a16:creationId xmlns:a16="http://schemas.microsoft.com/office/drawing/2014/main" id="{00000000-0008-0000-1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1350" y="3143250"/>
          <a:ext cx="1962150" cy="581025"/>
        </a:xfrm>
        <a:prstGeom prst="rect">
          <a:avLst/>
        </a:prstGeom>
      </xdr:spPr>
    </xdr:pic>
    <xdr:clientData/>
  </xdr:twoCellAnchor>
  <xdr:twoCellAnchor editAs="oneCell">
    <xdr:from>
      <xdr:col>5</xdr:col>
      <xdr:colOff>142875</xdr:colOff>
      <xdr:row>5</xdr:row>
      <xdr:rowOff>171450</xdr:rowOff>
    </xdr:from>
    <xdr:to>
      <xdr:col>5</xdr:col>
      <xdr:colOff>2105025</xdr:colOff>
      <xdr:row>5</xdr:row>
      <xdr:rowOff>752475</xdr:rowOff>
    </xdr:to>
    <xdr:pic>
      <xdr:nvPicPr>
        <xdr:cNvPr id="17" name="Afbeelding 16">
          <a:extLst>
            <a:ext uri="{FF2B5EF4-FFF2-40B4-BE49-F238E27FC236}">
              <a16:creationId xmlns:a16="http://schemas.microsoft.com/office/drawing/2014/main" id="{00000000-0008-0000-1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1350" y="4067175"/>
          <a:ext cx="1962150" cy="581025"/>
        </a:xfrm>
        <a:prstGeom prst="rect">
          <a:avLst/>
        </a:prstGeom>
      </xdr:spPr>
    </xdr:pic>
    <xdr:clientData/>
  </xdr:twoCellAnchor>
  <xdr:twoCellAnchor editAs="oneCell">
    <xdr:from>
      <xdr:col>5</xdr:col>
      <xdr:colOff>142875</xdr:colOff>
      <xdr:row>6</xdr:row>
      <xdr:rowOff>152400</xdr:rowOff>
    </xdr:from>
    <xdr:to>
      <xdr:col>5</xdr:col>
      <xdr:colOff>2105025</xdr:colOff>
      <xdr:row>6</xdr:row>
      <xdr:rowOff>733425</xdr:rowOff>
    </xdr:to>
    <xdr:pic>
      <xdr:nvPicPr>
        <xdr:cNvPr id="20" name="Afbeelding 19">
          <a:extLst>
            <a:ext uri="{FF2B5EF4-FFF2-40B4-BE49-F238E27FC236}">
              <a16:creationId xmlns:a16="http://schemas.microsoft.com/office/drawing/2014/main" id="{00000000-0008-0000-1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1350" y="4981575"/>
          <a:ext cx="1962150" cy="581025"/>
        </a:xfrm>
        <a:prstGeom prst="rect">
          <a:avLst/>
        </a:prstGeom>
      </xdr:spPr>
    </xdr:pic>
    <xdr:clientData/>
  </xdr:twoCellAnchor>
  <xdr:twoCellAnchor editAs="oneCell">
    <xdr:from>
      <xdr:col>5</xdr:col>
      <xdr:colOff>123825</xdr:colOff>
      <xdr:row>7</xdr:row>
      <xdr:rowOff>171450</xdr:rowOff>
    </xdr:from>
    <xdr:to>
      <xdr:col>5</xdr:col>
      <xdr:colOff>2085975</xdr:colOff>
      <xdr:row>7</xdr:row>
      <xdr:rowOff>752475</xdr:rowOff>
    </xdr:to>
    <xdr:pic>
      <xdr:nvPicPr>
        <xdr:cNvPr id="24" name="Afbeelding 23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2300" y="5934075"/>
          <a:ext cx="1962150" cy="581025"/>
        </a:xfrm>
        <a:prstGeom prst="rect">
          <a:avLst/>
        </a:prstGeom>
      </xdr:spPr>
    </xdr:pic>
    <xdr:clientData/>
  </xdr:twoCellAnchor>
  <xdr:twoCellAnchor editAs="oneCell">
    <xdr:from>
      <xdr:col>5</xdr:col>
      <xdr:colOff>123825</xdr:colOff>
      <xdr:row>8</xdr:row>
      <xdr:rowOff>190500</xdr:rowOff>
    </xdr:from>
    <xdr:to>
      <xdr:col>5</xdr:col>
      <xdr:colOff>2085975</xdr:colOff>
      <xdr:row>8</xdr:row>
      <xdr:rowOff>771525</xdr:rowOff>
    </xdr:to>
    <xdr:pic>
      <xdr:nvPicPr>
        <xdr:cNvPr id="28" name="Afbeelding 27">
          <a:extLst>
            <a:ext uri="{FF2B5EF4-FFF2-40B4-BE49-F238E27FC236}">
              <a16:creationId xmlns:a16="http://schemas.microsoft.com/office/drawing/2014/main" id="{00000000-0008-0000-1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2300" y="6886575"/>
          <a:ext cx="1962150" cy="581025"/>
        </a:xfrm>
        <a:prstGeom prst="rect">
          <a:avLst/>
        </a:prstGeom>
      </xdr:spPr>
    </xdr:pic>
    <xdr:clientData/>
  </xdr:twoCellAnchor>
  <xdr:twoCellAnchor editAs="oneCell">
    <xdr:from>
      <xdr:col>5</xdr:col>
      <xdr:colOff>123825</xdr:colOff>
      <xdr:row>9</xdr:row>
      <xdr:rowOff>190500</xdr:rowOff>
    </xdr:from>
    <xdr:to>
      <xdr:col>5</xdr:col>
      <xdr:colOff>2085975</xdr:colOff>
      <xdr:row>9</xdr:row>
      <xdr:rowOff>771525</xdr:rowOff>
    </xdr:to>
    <xdr:pic>
      <xdr:nvPicPr>
        <xdr:cNvPr id="30" name="Afbeelding 29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2300" y="7820025"/>
          <a:ext cx="1962150" cy="581025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</xdr:colOff>
      <xdr:row>10</xdr:row>
      <xdr:rowOff>161925</xdr:rowOff>
    </xdr:from>
    <xdr:to>
      <xdr:col>5</xdr:col>
      <xdr:colOff>2133600</xdr:colOff>
      <xdr:row>10</xdr:row>
      <xdr:rowOff>742950</xdr:rowOff>
    </xdr:to>
    <xdr:pic>
      <xdr:nvPicPr>
        <xdr:cNvPr id="97" name="Afbeelding 96">
          <a:extLst>
            <a:ext uri="{FF2B5EF4-FFF2-40B4-BE49-F238E27FC236}">
              <a16:creationId xmlns:a16="http://schemas.microsoft.com/office/drawing/2014/main" id="{00000000-0008-0000-12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9925" y="8724900"/>
          <a:ext cx="1962150" cy="581025"/>
        </a:xfrm>
        <a:prstGeom prst="rect">
          <a:avLst/>
        </a:prstGeom>
      </xdr:spPr>
    </xdr:pic>
    <xdr:clientData/>
  </xdr:twoCellAnchor>
  <xdr:twoCellAnchor editAs="oneCell">
    <xdr:from>
      <xdr:col>3</xdr:col>
      <xdr:colOff>10886</xdr:colOff>
      <xdr:row>39</xdr:row>
      <xdr:rowOff>10886</xdr:rowOff>
    </xdr:from>
    <xdr:to>
      <xdr:col>3</xdr:col>
      <xdr:colOff>344261</xdr:colOff>
      <xdr:row>39</xdr:row>
      <xdr:rowOff>234724</xdr:rowOff>
    </xdr:to>
    <xdr:pic>
      <xdr:nvPicPr>
        <xdr:cNvPr id="6" name="Afbeelding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3115" y="16285029"/>
          <a:ext cx="333375" cy="22383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nexis-my.sharepoint.com/personal/didier_van_haaren_enexis_nl/Documents/F1-2019.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ad0"/>
      <sheetName val="kalender"/>
      <sheetName val="race-info"/>
      <sheetName val="VT1"/>
      <sheetName val="VT2"/>
      <sheetName val="VT3"/>
      <sheetName val="KW"/>
      <sheetName val="SO"/>
      <sheetName val="uitslag"/>
      <sheetName val="progressie"/>
      <sheetName val="stnd_cou"/>
      <sheetName val="stnd_con"/>
      <sheetName val="gem"/>
      <sheetName val="team-info"/>
      <sheetName val="Blad1"/>
      <sheetName val="Blad2"/>
      <sheetName val="Blad3"/>
      <sheetName val="Blad4"/>
      <sheetName val="Bla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5" Type="http://schemas.openxmlformats.org/officeDocument/2006/relationships/image" Target="../media/image44.emf"/><Relationship Id="rId4" Type="http://schemas.openxmlformats.org/officeDocument/2006/relationships/control" Target="../activeX/activeX1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http://www.williamsf1.com/" TargetMode="External"/><Relationship Id="rId3" Type="http://schemas.openxmlformats.org/officeDocument/2006/relationships/hyperlink" Target="http://www.mclaren.com/formula1" TargetMode="External"/><Relationship Id="rId7" Type="http://schemas.openxmlformats.org/officeDocument/2006/relationships/hyperlink" Target="http://www.redbullracing.com/" TargetMode="External"/><Relationship Id="rId12" Type="http://schemas.openxmlformats.org/officeDocument/2006/relationships/drawing" Target="../drawings/drawing17.xml"/><Relationship Id="rId2" Type="http://schemas.openxmlformats.org/officeDocument/2006/relationships/hyperlink" Target="http://www.haasf1team.com/" TargetMode="External"/><Relationship Id="rId1" Type="http://schemas.openxmlformats.org/officeDocument/2006/relationships/hyperlink" Target="https://www.renaultsport.com/-Formule-1-330-.html" TargetMode="External"/><Relationship Id="rId6" Type="http://schemas.openxmlformats.org/officeDocument/2006/relationships/hyperlink" Target="http://www.forceindiaf1.com/" TargetMode="External"/><Relationship Id="rId11" Type="http://schemas.openxmlformats.org/officeDocument/2006/relationships/printerSettings" Target="../printerSettings/printerSettings17.bin"/><Relationship Id="rId5" Type="http://schemas.openxmlformats.org/officeDocument/2006/relationships/hyperlink" Target="http://www.scuderiatororosso.com/" TargetMode="External"/><Relationship Id="rId10" Type="http://schemas.openxmlformats.org/officeDocument/2006/relationships/hyperlink" Target="http://www.formula1.ferrari.com/" TargetMode="External"/><Relationship Id="rId4" Type="http://schemas.openxmlformats.org/officeDocument/2006/relationships/hyperlink" Target="https://www.sauber-group.com/motorsport/formula-1/" TargetMode="External"/><Relationship Id="rId9" Type="http://schemas.openxmlformats.org/officeDocument/2006/relationships/hyperlink" Target="http://www.mercedesamgf1.com/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theme="3" tint="0.39997558519241921"/>
  </sheetPr>
  <dimension ref="A1:T41"/>
  <sheetViews>
    <sheetView showGridLines="0" showRowColHeaders="0" tabSelected="1" zoomScaleNormal="100" workbookViewId="0"/>
  </sheetViews>
  <sheetFormatPr defaultColWidth="9.28515625" defaultRowHeight="12.75" x14ac:dyDescent="0.2"/>
  <cols>
    <col min="1" max="1" width="9.28515625" style="372" customWidth="1"/>
    <col min="2" max="3" width="9.28515625" style="361" customWidth="1"/>
    <col min="4" max="4" width="9.28515625" style="378"/>
    <col min="5" max="6" width="9.28515625" style="361" customWidth="1"/>
    <col min="7" max="7" width="13.7109375" style="361" customWidth="1"/>
    <col min="8" max="8" width="9.28515625" style="361" customWidth="1"/>
    <col min="9" max="9" width="9.28515625" style="361"/>
    <col min="10" max="10" width="9.28515625" style="379"/>
    <col min="11" max="15" width="9.28515625" style="361"/>
    <col min="16" max="16" width="9.28515625" style="361" customWidth="1"/>
    <col min="17" max="16384" width="9.28515625" style="361"/>
  </cols>
  <sheetData>
    <row r="1" spans="1:13" ht="24" customHeight="1" x14ac:dyDescent="0.2">
      <c r="A1" s="398" t="s">
        <v>550</v>
      </c>
      <c r="B1" s="377"/>
    </row>
    <row r="2" spans="1:13" s="364" customFormat="1" ht="24" customHeight="1" x14ac:dyDescent="0.55000000000000004">
      <c r="A2" s="712">
        <v>43730.590277777781</v>
      </c>
      <c r="B2" s="713"/>
      <c r="C2" s="363"/>
      <c r="D2" s="380"/>
      <c r="E2" s="363"/>
      <c r="F2" s="363"/>
      <c r="G2" s="363"/>
      <c r="H2" s="363"/>
      <c r="I2" s="363"/>
      <c r="J2" s="381"/>
      <c r="K2" s="363"/>
      <c r="L2" s="363"/>
      <c r="M2" s="363"/>
    </row>
    <row r="3" spans="1:13" ht="24" customHeight="1" x14ac:dyDescent="0.2">
      <c r="A3" s="399" t="s">
        <v>533</v>
      </c>
      <c r="M3" s="383"/>
    </row>
    <row r="4" spans="1:13" s="366" customFormat="1" ht="24" customHeight="1" x14ac:dyDescent="0.2">
      <c r="A4" s="400">
        <f ca="1">INT(A2-NOW())</f>
        <v>13</v>
      </c>
      <c r="B4" s="711" t="str">
        <f ca="1">"nog "&amp;dagen&amp;" dagen, "&amp;uren&amp;" uur en "&amp;minuten&amp;" minuut"&amp;" tot de volgende race"</f>
        <v>nog 13 dagen, 20 uur en 7 minuut tot de volgende race</v>
      </c>
      <c r="C4" s="711"/>
      <c r="D4" s="711"/>
      <c r="E4" s="711"/>
      <c r="F4" s="711"/>
      <c r="G4" s="711"/>
      <c r="H4" s="711"/>
      <c r="I4" s="711"/>
      <c r="J4" s="711"/>
      <c r="K4" s="711"/>
      <c r="L4" s="711"/>
    </row>
    <row r="5" spans="1:13" ht="12" customHeight="1" x14ac:dyDescent="0.2">
      <c r="A5" s="372" t="s">
        <v>534</v>
      </c>
      <c r="B5" s="366"/>
      <c r="C5" s="366"/>
      <c r="D5" s="384"/>
      <c r="E5" s="366"/>
      <c r="F5" s="366"/>
      <c r="G5" s="366"/>
      <c r="H5" s="366"/>
      <c r="I5" s="366"/>
      <c r="J5" s="385"/>
      <c r="K5" s="366"/>
      <c r="L5" s="366"/>
      <c r="M5" s="366"/>
    </row>
    <row r="6" spans="1:13" ht="26.25" customHeight="1" x14ac:dyDescent="0.2">
      <c r="A6" s="372">
        <f ca="1">HOUR((A2-NOW()-INT(A2-NOW())))</f>
        <v>20</v>
      </c>
      <c r="B6" s="366"/>
      <c r="C6" s="386"/>
      <c r="D6" s="402">
        <v>43541</v>
      </c>
      <c r="E6" s="403" t="s">
        <v>62</v>
      </c>
      <c r="F6" s="403"/>
      <c r="G6" s="403"/>
      <c r="H6" s="404"/>
      <c r="I6" s="685" t="s">
        <v>83</v>
      </c>
      <c r="J6" s="686">
        <v>43681</v>
      </c>
      <c r="K6" s="389"/>
      <c r="L6" s="389"/>
      <c r="M6" s="366"/>
    </row>
    <row r="7" spans="1:13" ht="26.25" customHeight="1" x14ac:dyDescent="0.2">
      <c r="A7" s="372" t="s">
        <v>535</v>
      </c>
      <c r="B7" s="366"/>
      <c r="C7" s="366"/>
      <c r="D7" s="402">
        <v>43555</v>
      </c>
      <c r="E7" s="403" t="s">
        <v>353</v>
      </c>
      <c r="F7" s="405"/>
      <c r="G7" s="406"/>
      <c r="H7" s="407"/>
      <c r="I7" s="685" t="s">
        <v>86</v>
      </c>
      <c r="J7" s="686">
        <v>43709</v>
      </c>
      <c r="K7" s="389"/>
      <c r="L7" s="389"/>
      <c r="M7" s="366"/>
    </row>
    <row r="8" spans="1:13" ht="26.25" customHeight="1" x14ac:dyDescent="0.2">
      <c r="A8" s="372">
        <f ca="1">MINUTE((A2-NOW()-INT(A2-NOW())))</f>
        <v>7</v>
      </c>
      <c r="C8" s="366"/>
      <c r="D8" s="402">
        <v>43569</v>
      </c>
      <c r="E8" s="403" t="s">
        <v>94</v>
      </c>
      <c r="F8" s="405"/>
      <c r="G8" s="406"/>
      <c r="H8" s="407"/>
      <c r="I8" s="685" t="s">
        <v>88</v>
      </c>
      <c r="J8" s="686">
        <v>43716</v>
      </c>
      <c r="K8" s="389"/>
      <c r="L8" s="389"/>
      <c r="M8" s="366"/>
    </row>
    <row r="9" spans="1:13" ht="26.25" customHeight="1" x14ac:dyDescent="0.2">
      <c r="B9" s="366"/>
      <c r="C9" s="366"/>
      <c r="D9" s="402">
        <v>43583</v>
      </c>
      <c r="E9" s="403" t="s">
        <v>505</v>
      </c>
      <c r="F9" s="405"/>
      <c r="G9" s="406"/>
      <c r="H9" s="407"/>
      <c r="I9" s="387" t="s">
        <v>90</v>
      </c>
      <c r="J9" s="388">
        <v>43730</v>
      </c>
      <c r="K9" s="366"/>
      <c r="L9" s="366"/>
      <c r="M9" s="366"/>
    </row>
    <row r="10" spans="1:13" ht="26.25" customHeight="1" x14ac:dyDescent="0.2">
      <c r="B10" s="366"/>
      <c r="C10" s="366"/>
      <c r="D10" s="402">
        <v>43597</v>
      </c>
      <c r="E10" s="403" t="s">
        <v>71</v>
      </c>
      <c r="F10" s="405"/>
      <c r="G10" s="406"/>
      <c r="H10" s="407"/>
      <c r="I10" s="387" t="s">
        <v>370</v>
      </c>
      <c r="J10" s="388">
        <v>43737</v>
      </c>
      <c r="K10" s="366"/>
      <c r="L10" s="366"/>
      <c r="M10" s="366"/>
    </row>
    <row r="11" spans="1:13" ht="26.25" customHeight="1" x14ac:dyDescent="0.2">
      <c r="B11" s="366"/>
      <c r="C11" s="366"/>
      <c r="D11" s="402">
        <v>43611</v>
      </c>
      <c r="E11" s="403" t="s">
        <v>75</v>
      </c>
      <c r="F11" s="405"/>
      <c r="G11" s="406"/>
      <c r="H11" s="407"/>
      <c r="I11" s="387" t="s">
        <v>92</v>
      </c>
      <c r="J11" s="388">
        <v>43751</v>
      </c>
      <c r="K11" s="366"/>
      <c r="L11" s="366"/>
      <c r="M11" s="366"/>
    </row>
    <row r="12" spans="1:13" ht="26.25" customHeight="1" x14ac:dyDescent="0.2">
      <c r="B12" s="366"/>
      <c r="C12" s="366"/>
      <c r="D12" s="402">
        <v>43625</v>
      </c>
      <c r="E12" s="403" t="s">
        <v>330</v>
      </c>
      <c r="F12" s="407"/>
      <c r="G12" s="408"/>
      <c r="H12" s="407"/>
      <c r="I12" s="387" t="s">
        <v>346</v>
      </c>
      <c r="J12" s="388">
        <v>43765</v>
      </c>
      <c r="K12" s="366"/>
      <c r="L12" s="366"/>
      <c r="M12" s="366"/>
    </row>
    <row r="13" spans="1:13" ht="26.25" customHeight="1" x14ac:dyDescent="0.2">
      <c r="B13" s="366"/>
      <c r="C13" s="366"/>
      <c r="D13" s="402">
        <v>43639</v>
      </c>
      <c r="E13" s="403" t="s">
        <v>361</v>
      </c>
      <c r="F13" s="390"/>
      <c r="G13" s="390"/>
      <c r="H13" s="407"/>
      <c r="I13" s="387" t="s">
        <v>428</v>
      </c>
      <c r="J13" s="388">
        <v>43772</v>
      </c>
      <c r="K13" s="366"/>
      <c r="L13" s="366"/>
      <c r="M13" s="366"/>
    </row>
    <row r="14" spans="1:13" ht="26.25" customHeight="1" x14ac:dyDescent="0.2">
      <c r="B14" s="366"/>
      <c r="C14" s="366"/>
      <c r="D14" s="402">
        <v>43646</v>
      </c>
      <c r="E14" s="403" t="s">
        <v>373</v>
      </c>
      <c r="F14" s="405"/>
      <c r="G14" s="409"/>
      <c r="H14" s="407"/>
      <c r="I14" s="387" t="s">
        <v>506</v>
      </c>
      <c r="J14" s="388">
        <v>43786</v>
      </c>
      <c r="K14" s="366"/>
      <c r="L14" s="366"/>
      <c r="M14" s="366"/>
    </row>
    <row r="15" spans="1:13" ht="26.25" customHeight="1" x14ac:dyDescent="0.2">
      <c r="B15" s="366"/>
      <c r="C15" s="366"/>
      <c r="D15" s="402">
        <v>43660</v>
      </c>
      <c r="E15" s="403" t="s">
        <v>429</v>
      </c>
      <c r="F15" s="405"/>
      <c r="G15" s="409"/>
      <c r="H15" s="407"/>
      <c r="I15" s="387" t="s">
        <v>220</v>
      </c>
      <c r="J15" s="388">
        <v>43800</v>
      </c>
      <c r="K15" s="366"/>
      <c r="L15" s="366"/>
      <c r="M15" s="366"/>
    </row>
    <row r="16" spans="1:13" ht="26.25" customHeight="1" x14ac:dyDescent="0.2">
      <c r="B16" s="366"/>
      <c r="C16" s="366"/>
      <c r="D16" s="402">
        <v>43674</v>
      </c>
      <c r="E16" s="403" t="s">
        <v>81</v>
      </c>
      <c r="F16" s="405"/>
      <c r="G16" s="409"/>
      <c r="H16" s="410"/>
      <c r="I16" s="407"/>
      <c r="J16" s="411"/>
      <c r="K16" s="366"/>
      <c r="L16" s="366"/>
      <c r="M16" s="366"/>
    </row>
    <row r="17" spans="1:20" ht="12" customHeight="1" x14ac:dyDescent="0.2">
      <c r="B17" s="366"/>
      <c r="C17" s="366"/>
      <c r="D17" s="384"/>
      <c r="E17" s="366"/>
      <c r="F17" s="366"/>
      <c r="G17" s="366"/>
      <c r="H17" s="366"/>
      <c r="I17" s="366"/>
      <c r="J17" s="385"/>
      <c r="K17" s="366"/>
      <c r="L17" s="366"/>
      <c r="M17" s="366"/>
    </row>
    <row r="18" spans="1:20" ht="9.75" customHeight="1" x14ac:dyDescent="0.2">
      <c r="B18" s="714">
        <f>Blad1!AI29/Blad1!AI30</f>
        <v>0.66885245901639345</v>
      </c>
      <c r="C18" s="715"/>
      <c r="D18" s="715"/>
      <c r="E18" s="715"/>
      <c r="F18" s="715"/>
      <c r="G18" s="715"/>
      <c r="H18" s="715"/>
      <c r="I18" s="715"/>
      <c r="J18" s="715"/>
      <c r="K18" s="715"/>
      <c r="L18" s="716"/>
    </row>
    <row r="19" spans="1:20" s="392" customFormat="1" ht="9" hidden="1" customHeight="1" x14ac:dyDescent="0.2">
      <c r="A19" s="401"/>
      <c r="B19" s="717">
        <v>1</v>
      </c>
      <c r="C19" s="717"/>
      <c r="D19" s="717"/>
      <c r="E19" s="717"/>
      <c r="F19" s="717"/>
      <c r="G19" s="717"/>
      <c r="H19" s="717"/>
      <c r="I19" s="717"/>
      <c r="J19" s="717"/>
      <c r="K19" s="717"/>
      <c r="L19" s="717"/>
      <c r="M19" s="391"/>
      <c r="N19" s="391"/>
      <c r="O19" s="391"/>
      <c r="Q19" s="361"/>
      <c r="R19" s="361"/>
      <c r="S19" s="361"/>
      <c r="T19" s="361"/>
    </row>
    <row r="20" spans="1:20" ht="12.75" customHeight="1" x14ac:dyDescent="0.2">
      <c r="B20" s="366"/>
      <c r="C20" s="366"/>
      <c r="D20" s="384"/>
      <c r="E20" s="366"/>
      <c r="F20" s="366"/>
      <c r="G20" s="366"/>
      <c r="H20" s="366"/>
      <c r="I20" s="366"/>
      <c r="J20" s="385"/>
    </row>
    <row r="21" spans="1:20" x14ac:dyDescent="0.2">
      <c r="B21" s="365"/>
      <c r="C21" s="365"/>
      <c r="D21" s="393"/>
      <c r="E21" s="365"/>
      <c r="F21" s="365"/>
      <c r="G21" s="365"/>
      <c r="H21" s="365"/>
      <c r="I21" s="365"/>
      <c r="J21" s="394"/>
      <c r="K21" s="360"/>
      <c r="L21" s="360"/>
      <c r="M21" s="360"/>
    </row>
    <row r="22" spans="1:20" x14ac:dyDescent="0.2">
      <c r="B22" s="360"/>
      <c r="C22" s="360"/>
      <c r="D22" s="367"/>
      <c r="E22" s="360"/>
      <c r="F22" s="360"/>
      <c r="G22" s="360"/>
      <c r="H22" s="360"/>
      <c r="I22" s="360"/>
      <c r="J22" s="395"/>
      <c r="K22" s="360"/>
      <c r="L22" s="360"/>
      <c r="M22" s="360"/>
    </row>
    <row r="23" spans="1:20" x14ac:dyDescent="0.2">
      <c r="B23" s="360"/>
      <c r="C23" s="360"/>
      <c r="D23" s="367"/>
      <c r="E23" s="360"/>
      <c r="F23" s="360"/>
      <c r="G23" s="360"/>
      <c r="H23" s="360"/>
      <c r="I23" s="360"/>
      <c r="J23" s="395"/>
      <c r="K23" s="360"/>
      <c r="L23" s="360"/>
      <c r="M23" s="360"/>
    </row>
    <row r="24" spans="1:20" x14ac:dyDescent="0.2">
      <c r="B24" s="360"/>
      <c r="C24" s="396"/>
      <c r="D24" s="396"/>
      <c r="E24" s="396"/>
      <c r="F24" s="396"/>
      <c r="G24" s="396"/>
      <c r="H24" s="396"/>
      <c r="I24" s="396"/>
      <c r="J24" s="396"/>
      <c r="K24" s="396"/>
      <c r="L24" s="360"/>
      <c r="M24" s="360"/>
    </row>
    <row r="25" spans="1:20" x14ac:dyDescent="0.2">
      <c r="B25" s="360"/>
      <c r="C25" s="360"/>
      <c r="D25" s="367"/>
      <c r="E25" s="360"/>
      <c r="F25" s="360"/>
      <c r="G25" s="360"/>
      <c r="H25" s="360"/>
      <c r="I25" s="360"/>
      <c r="J25" s="395"/>
      <c r="K25" s="360"/>
      <c r="L25" s="360"/>
      <c r="M25" s="360"/>
    </row>
    <row r="26" spans="1:20" x14ac:dyDescent="0.2">
      <c r="B26" s="360"/>
      <c r="C26" s="382"/>
      <c r="D26" s="367"/>
      <c r="E26" s="360"/>
      <c r="F26" s="360"/>
      <c r="G26" s="360"/>
      <c r="H26" s="360"/>
      <c r="I26" s="360"/>
      <c r="J26" s="395"/>
      <c r="K26" s="360"/>
      <c r="L26" s="360"/>
      <c r="M26" s="360"/>
    </row>
    <row r="27" spans="1:20" x14ac:dyDescent="0.2">
      <c r="B27" s="360"/>
      <c r="C27" s="360"/>
      <c r="D27" s="360"/>
      <c r="E27" s="360"/>
      <c r="F27" s="360"/>
      <c r="G27" s="360"/>
      <c r="H27" s="360"/>
      <c r="I27" s="360"/>
      <c r="J27" s="395"/>
      <c r="K27" s="360"/>
      <c r="L27" s="360"/>
      <c r="M27" s="360"/>
    </row>
    <row r="28" spans="1:20" x14ac:dyDescent="0.2">
      <c r="B28" s="360"/>
      <c r="C28" s="360"/>
      <c r="D28" s="360"/>
      <c r="E28" s="360"/>
      <c r="F28" s="360"/>
      <c r="G28" s="360"/>
      <c r="H28" s="360"/>
      <c r="I28" s="360"/>
      <c r="J28" s="395"/>
      <c r="K28" s="360"/>
      <c r="L28" s="360"/>
      <c r="M28" s="360"/>
    </row>
    <row r="29" spans="1:20" x14ac:dyDescent="0.2">
      <c r="B29" s="360"/>
      <c r="C29" s="360"/>
      <c r="D29" s="367"/>
      <c r="E29" s="360"/>
      <c r="F29" s="360"/>
      <c r="G29" s="360"/>
      <c r="H29" s="360"/>
      <c r="I29" s="360"/>
      <c r="J29" s="395"/>
      <c r="K29" s="360"/>
      <c r="L29" s="360"/>
      <c r="M29" s="360"/>
    </row>
    <row r="30" spans="1:20" x14ac:dyDescent="0.2">
      <c r="B30" s="360"/>
      <c r="C30" s="360"/>
      <c r="D30" s="367"/>
      <c r="E30" s="360"/>
      <c r="F30" s="360"/>
      <c r="G30" s="360"/>
      <c r="H30" s="397"/>
      <c r="I30" s="360"/>
      <c r="J30" s="395"/>
      <c r="K30" s="360"/>
      <c r="L30" s="360"/>
      <c r="M30" s="360"/>
    </row>
    <row r="31" spans="1:20" x14ac:dyDescent="0.2">
      <c r="B31" s="360"/>
      <c r="C31" s="360"/>
      <c r="D31" s="367"/>
      <c r="E31" s="360"/>
      <c r="F31" s="360"/>
      <c r="G31" s="360"/>
      <c r="H31" s="360"/>
      <c r="I31" s="360"/>
      <c r="J31" s="395"/>
      <c r="K31" s="360"/>
      <c r="L31" s="360"/>
      <c r="M31" s="360"/>
    </row>
    <row r="32" spans="1:20" x14ac:dyDescent="0.2">
      <c r="B32" s="360"/>
      <c r="C32" s="360"/>
      <c r="D32" s="367"/>
      <c r="E32" s="360"/>
      <c r="F32" s="360"/>
      <c r="G32" s="360"/>
      <c r="H32" s="360"/>
      <c r="I32" s="360"/>
      <c r="J32" s="395"/>
      <c r="K32" s="360"/>
      <c r="L32" s="360"/>
      <c r="M32" s="360"/>
    </row>
    <row r="33" spans="2:13" x14ac:dyDescent="0.2">
      <c r="B33" s="360"/>
      <c r="C33" s="360"/>
      <c r="D33" s="367"/>
      <c r="E33" s="360"/>
      <c r="F33" s="360"/>
      <c r="G33" s="360"/>
      <c r="H33" s="360"/>
      <c r="I33" s="360"/>
      <c r="J33" s="395"/>
      <c r="K33" s="360"/>
      <c r="L33" s="360"/>
      <c r="M33" s="360"/>
    </row>
    <row r="34" spans="2:13" x14ac:dyDescent="0.2">
      <c r="B34" s="360"/>
      <c r="C34" s="360"/>
      <c r="D34" s="367"/>
      <c r="E34" s="360"/>
      <c r="F34" s="360"/>
      <c r="G34" s="360"/>
      <c r="H34" s="360"/>
      <c r="I34" s="360"/>
      <c r="J34" s="395"/>
      <c r="K34" s="360"/>
      <c r="L34" s="360"/>
      <c r="M34" s="360"/>
    </row>
    <row r="35" spans="2:13" x14ac:dyDescent="0.2">
      <c r="B35" s="360"/>
      <c r="C35" s="360"/>
      <c r="D35" s="367"/>
      <c r="E35" s="360"/>
      <c r="F35" s="360"/>
      <c r="G35" s="360"/>
      <c r="H35" s="360"/>
      <c r="I35" s="360"/>
      <c r="J35" s="395"/>
      <c r="K35" s="360"/>
      <c r="L35" s="360"/>
      <c r="M35" s="360"/>
    </row>
    <row r="36" spans="2:13" x14ac:dyDescent="0.2">
      <c r="B36" s="360"/>
      <c r="C36" s="360"/>
      <c r="D36" s="367"/>
      <c r="E36" s="360"/>
      <c r="F36" s="360"/>
      <c r="G36" s="360"/>
      <c r="H36" s="360"/>
      <c r="I36" s="360"/>
      <c r="J36" s="395"/>
      <c r="K36" s="360"/>
      <c r="L36" s="360"/>
      <c r="M36" s="360"/>
    </row>
    <row r="37" spans="2:13" x14ac:dyDescent="0.2">
      <c r="B37" s="360"/>
      <c r="C37" s="360"/>
      <c r="D37" s="367"/>
      <c r="E37" s="360"/>
      <c r="F37" s="360"/>
      <c r="G37" s="360"/>
      <c r="H37" s="360"/>
      <c r="I37" s="360"/>
      <c r="J37" s="395"/>
      <c r="K37" s="360"/>
      <c r="L37" s="360"/>
      <c r="M37" s="360"/>
    </row>
    <row r="38" spans="2:13" x14ac:dyDescent="0.2">
      <c r="B38" s="360"/>
      <c r="C38" s="360"/>
      <c r="D38" s="367"/>
      <c r="E38" s="360"/>
      <c r="F38" s="360"/>
      <c r="G38" s="360"/>
      <c r="H38" s="360"/>
      <c r="I38" s="360"/>
      <c r="J38" s="395"/>
      <c r="K38" s="360"/>
      <c r="L38" s="360"/>
      <c r="M38" s="360"/>
    </row>
    <row r="39" spans="2:13" x14ac:dyDescent="0.2">
      <c r="B39" s="360"/>
      <c r="C39" s="360"/>
      <c r="D39" s="367"/>
      <c r="E39" s="360"/>
      <c r="F39" s="360"/>
      <c r="G39" s="360"/>
      <c r="H39" s="360"/>
      <c r="I39" s="360"/>
      <c r="J39" s="395"/>
      <c r="K39" s="360"/>
      <c r="L39" s="360"/>
      <c r="M39" s="360"/>
    </row>
    <row r="40" spans="2:13" x14ac:dyDescent="0.2">
      <c r="B40" s="360"/>
      <c r="C40" s="360"/>
      <c r="D40" s="367"/>
      <c r="E40" s="360"/>
      <c r="F40" s="360"/>
      <c r="G40" s="360"/>
      <c r="H40" s="360"/>
      <c r="I40" s="360"/>
      <c r="J40" s="395"/>
      <c r="K40" s="360"/>
      <c r="L40" s="360"/>
      <c r="M40" s="360"/>
    </row>
    <row r="41" spans="2:13" x14ac:dyDescent="0.2">
      <c r="B41" s="360"/>
      <c r="C41" s="360"/>
      <c r="D41" s="367"/>
      <c r="E41" s="360"/>
      <c r="F41" s="360"/>
      <c r="G41" s="360"/>
      <c r="H41" s="360"/>
      <c r="I41" s="360"/>
      <c r="J41" s="395"/>
      <c r="K41" s="360"/>
      <c r="L41" s="360"/>
      <c r="M41" s="360"/>
    </row>
  </sheetData>
  <sheetProtection sheet="1" formatColumns="0" formatRows="0" selectLockedCells="1" selectUnlockedCells="1"/>
  <mergeCells count="4">
    <mergeCell ref="B4:L4"/>
    <mergeCell ref="A2:B2"/>
    <mergeCell ref="B18:L18"/>
    <mergeCell ref="B19:L19"/>
  </mergeCells>
  <phoneticPr fontId="2" type="noConversion"/>
  <conditionalFormatting sqref="B18:L19">
    <cfRule type="dataBar" priority="1">
      <dataBar>
        <cfvo type="min"/>
        <cfvo type="max"/>
        <color theme="3" tint="-0.249977111117893"/>
      </dataBar>
      <extLst>
        <ext xmlns:x14="http://schemas.microsoft.com/office/spreadsheetml/2009/9/main" uri="{B025F937-C7B1-47D3-B67F-A62EFF666E3E}">
          <x14:id>{EEE86071-464F-4FCC-AC49-6582F9DE9D36}</x14:id>
        </ext>
      </extLst>
    </cfRule>
  </conditionalFormatting>
  <pageMargins left="0.62992125984251968" right="0.47244094488188981" top="0.6692913385826772" bottom="0.98425196850393704" header="0.51181102362204722" footer="0.51181102362204722"/>
  <pageSetup paperSize="9" orientation="landscape" horizontalDpi="4294967293" verticalDpi="4294967293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EE86071-464F-4FCC-AC49-6582F9DE9D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B18:L19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19">
    <tabColor theme="1" tint="0.34998626667073579"/>
  </sheetPr>
  <dimension ref="A1:AG30"/>
  <sheetViews>
    <sheetView showGridLines="0" showRowColHeaders="0" zoomScaleNormal="100" workbookViewId="0"/>
  </sheetViews>
  <sheetFormatPr defaultColWidth="9.28515625" defaultRowHeight="12.75" customHeight="1" x14ac:dyDescent="0.2"/>
  <cols>
    <col min="1" max="1" width="9.28515625" style="366"/>
    <col min="2" max="2" width="9.85546875" style="366" customWidth="1"/>
    <col min="3" max="33" width="5" style="366" customWidth="1"/>
    <col min="34" max="16384" width="9.28515625" style="366"/>
  </cols>
  <sheetData>
    <row r="1" spans="1:33" ht="14.25" customHeight="1" x14ac:dyDescent="0.2">
      <c r="A1" s="375" t="s">
        <v>559</v>
      </c>
    </row>
    <row r="2" spans="1:33" ht="14.25" customHeight="1" x14ac:dyDescent="0.2"/>
    <row r="3" spans="1:33" ht="14.25" customHeight="1" x14ac:dyDescent="0.2"/>
    <row r="4" spans="1:33" ht="14.25" customHeight="1" x14ac:dyDescent="0.2"/>
    <row r="5" spans="1:33" ht="16.5" customHeight="1" x14ac:dyDescent="0.2"/>
    <row r="6" spans="1:33" ht="19.5" customHeight="1" x14ac:dyDescent="0.2">
      <c r="C6" s="718"/>
      <c r="D6" s="718"/>
      <c r="E6" s="718"/>
      <c r="F6" s="718"/>
      <c r="G6" s="718"/>
      <c r="H6" s="718"/>
      <c r="I6" s="718"/>
      <c r="J6" s="718"/>
      <c r="K6" s="718"/>
      <c r="L6" s="718"/>
      <c r="M6" s="718"/>
      <c r="N6" s="718"/>
      <c r="O6" s="718"/>
      <c r="P6" s="718"/>
      <c r="Q6" s="718"/>
      <c r="R6" s="718"/>
      <c r="S6" s="718"/>
      <c r="T6" s="718"/>
      <c r="U6" s="718"/>
      <c r="V6" s="718"/>
      <c r="W6" s="718"/>
      <c r="X6" s="718"/>
      <c r="Y6" s="718"/>
      <c r="Z6" s="718"/>
      <c r="AA6" s="718"/>
      <c r="AB6" s="718"/>
      <c r="AC6" s="718"/>
      <c r="AD6" s="718"/>
      <c r="AE6" s="718"/>
      <c r="AF6" s="718"/>
      <c r="AG6" s="718"/>
    </row>
    <row r="8" spans="1:33" s="412" customFormat="1" ht="16.5" customHeight="1" x14ac:dyDescent="0.2">
      <c r="B8" s="413"/>
      <c r="C8" s="417">
        <v>1</v>
      </c>
      <c r="D8" s="417">
        <v>2</v>
      </c>
      <c r="E8" s="417">
        <v>3</v>
      </c>
      <c r="F8" s="417">
        <v>4</v>
      </c>
      <c r="G8" s="417">
        <v>5</v>
      </c>
      <c r="H8" s="417">
        <v>6</v>
      </c>
      <c r="I8" s="417">
        <v>7</v>
      </c>
      <c r="J8" s="417">
        <v>8</v>
      </c>
      <c r="K8" s="417">
        <v>9</v>
      </c>
      <c r="L8" s="417">
        <v>10</v>
      </c>
      <c r="M8" s="417">
        <v>11</v>
      </c>
      <c r="N8" s="417">
        <v>12</v>
      </c>
      <c r="O8" s="417">
        <v>13</v>
      </c>
      <c r="P8" s="417">
        <v>14</v>
      </c>
      <c r="Q8" s="417">
        <v>15</v>
      </c>
      <c r="R8" s="417">
        <v>16</v>
      </c>
      <c r="S8" s="662">
        <v>17</v>
      </c>
      <c r="T8" s="417">
        <v>18</v>
      </c>
      <c r="U8" s="417">
        <v>19</v>
      </c>
      <c r="V8" s="417">
        <v>20</v>
      </c>
      <c r="W8" s="417">
        <v>21</v>
      </c>
      <c r="X8" s="417">
        <v>22</v>
      </c>
      <c r="Y8" s="417">
        <v>23</v>
      </c>
      <c r="Z8" s="417">
        <v>24</v>
      </c>
      <c r="AA8" s="417">
        <v>25</v>
      </c>
      <c r="AB8" s="417">
        <v>26</v>
      </c>
      <c r="AC8" s="417">
        <v>27</v>
      </c>
      <c r="AD8" s="417">
        <v>28</v>
      </c>
      <c r="AE8" s="417">
        <v>29</v>
      </c>
      <c r="AF8" s="417">
        <v>30</v>
      </c>
      <c r="AG8" s="417">
        <v>31</v>
      </c>
    </row>
    <row r="9" spans="1:33" ht="30" customHeight="1" x14ac:dyDescent="0.2">
      <c r="B9" s="573" t="s">
        <v>381</v>
      </c>
      <c r="C9" s="624">
        <v>43525</v>
      </c>
      <c r="D9" s="624">
        <v>43526</v>
      </c>
      <c r="E9" s="624">
        <v>43527</v>
      </c>
      <c r="F9" s="624">
        <v>43528</v>
      </c>
      <c r="G9" s="624">
        <v>43529</v>
      </c>
      <c r="H9" s="624">
        <v>43530</v>
      </c>
      <c r="I9" s="624">
        <v>43531</v>
      </c>
      <c r="J9" s="624">
        <v>43532</v>
      </c>
      <c r="K9" s="624">
        <v>43533</v>
      </c>
      <c r="L9" s="624">
        <v>43534</v>
      </c>
      <c r="M9" s="624">
        <v>43535</v>
      </c>
      <c r="N9" s="624">
        <v>43536</v>
      </c>
      <c r="O9" s="624">
        <v>43537</v>
      </c>
      <c r="P9" s="624">
        <v>43538</v>
      </c>
      <c r="Q9" s="624">
        <v>43539</v>
      </c>
      <c r="R9" s="627">
        <v>43540</v>
      </c>
      <c r="S9" s="628">
        <v>43541</v>
      </c>
      <c r="T9" s="627">
        <v>43542</v>
      </c>
      <c r="U9" s="624">
        <v>43543</v>
      </c>
      <c r="V9" s="624">
        <v>43544</v>
      </c>
      <c r="W9" s="624">
        <v>43545</v>
      </c>
      <c r="X9" s="624">
        <v>43546</v>
      </c>
      <c r="Y9" s="624">
        <v>43547</v>
      </c>
      <c r="Z9" s="624">
        <v>43548</v>
      </c>
      <c r="AA9" s="624">
        <v>43549</v>
      </c>
      <c r="AB9" s="624">
        <v>43550</v>
      </c>
      <c r="AC9" s="624">
        <v>43551</v>
      </c>
      <c r="AD9" s="624">
        <v>43552</v>
      </c>
      <c r="AE9" s="624">
        <v>43553</v>
      </c>
      <c r="AF9" s="624">
        <v>43554</v>
      </c>
      <c r="AG9" s="628">
        <v>43555</v>
      </c>
    </row>
    <row r="10" spans="1:33" ht="30" customHeight="1" x14ac:dyDescent="0.2">
      <c r="B10" s="573" t="s">
        <v>382</v>
      </c>
      <c r="C10" s="624">
        <v>43556</v>
      </c>
      <c r="D10" s="624">
        <v>43557</v>
      </c>
      <c r="E10" s="624">
        <v>43558</v>
      </c>
      <c r="F10" s="624">
        <v>43559</v>
      </c>
      <c r="G10" s="624">
        <v>43560</v>
      </c>
      <c r="H10" s="624">
        <v>43561</v>
      </c>
      <c r="I10" s="624">
        <v>43562</v>
      </c>
      <c r="J10" s="624">
        <v>43563</v>
      </c>
      <c r="K10" s="624">
        <v>43564</v>
      </c>
      <c r="L10" s="624">
        <v>43565</v>
      </c>
      <c r="M10" s="624">
        <v>43566</v>
      </c>
      <c r="N10" s="624">
        <v>43567</v>
      </c>
      <c r="O10" s="624">
        <v>43568</v>
      </c>
      <c r="P10" s="628">
        <v>43569</v>
      </c>
      <c r="Q10" s="624">
        <v>43570</v>
      </c>
      <c r="R10" s="624">
        <v>43571</v>
      </c>
      <c r="S10" s="627">
        <v>43572</v>
      </c>
      <c r="T10" s="624">
        <v>43573</v>
      </c>
      <c r="U10" s="624">
        <v>43574</v>
      </c>
      <c r="V10" s="624">
        <v>43575</v>
      </c>
      <c r="W10" s="624">
        <v>43576</v>
      </c>
      <c r="X10" s="624">
        <v>43577</v>
      </c>
      <c r="Y10" s="624">
        <v>43578</v>
      </c>
      <c r="Z10" s="624">
        <v>43579</v>
      </c>
      <c r="AA10" s="624">
        <v>43580</v>
      </c>
      <c r="AB10" s="624">
        <v>43581</v>
      </c>
      <c r="AC10" s="624">
        <v>43582</v>
      </c>
      <c r="AD10" s="628">
        <v>43583</v>
      </c>
      <c r="AE10" s="624">
        <v>43584</v>
      </c>
      <c r="AF10" s="624">
        <v>43585</v>
      </c>
      <c r="AG10" s="625"/>
    </row>
    <row r="11" spans="1:33" ht="30" customHeight="1" x14ac:dyDescent="0.2">
      <c r="B11" s="573" t="s">
        <v>383</v>
      </c>
      <c r="C11" s="626">
        <v>43586</v>
      </c>
      <c r="D11" s="626">
        <v>43587</v>
      </c>
      <c r="E11" s="626">
        <v>43588</v>
      </c>
      <c r="F11" s="626">
        <v>43589</v>
      </c>
      <c r="G11" s="626">
        <v>43590</v>
      </c>
      <c r="H11" s="626">
        <v>43591</v>
      </c>
      <c r="I11" s="626">
        <v>43592</v>
      </c>
      <c r="J11" s="626">
        <v>43593</v>
      </c>
      <c r="K11" s="626">
        <v>43594</v>
      </c>
      <c r="L11" s="626">
        <v>43595</v>
      </c>
      <c r="M11" s="626">
        <v>43596</v>
      </c>
      <c r="N11" s="628">
        <v>43597</v>
      </c>
      <c r="O11" s="626">
        <v>43598</v>
      </c>
      <c r="P11" s="626">
        <v>43599</v>
      </c>
      <c r="Q11" s="626">
        <v>43600</v>
      </c>
      <c r="R11" s="626">
        <v>43601</v>
      </c>
      <c r="S11" s="626">
        <v>43602</v>
      </c>
      <c r="T11" s="626">
        <v>43603</v>
      </c>
      <c r="U11" s="626">
        <v>43604</v>
      </c>
      <c r="V11" s="626">
        <v>43605</v>
      </c>
      <c r="W11" s="626">
        <v>43606</v>
      </c>
      <c r="X11" s="626">
        <v>43607</v>
      </c>
      <c r="Y11" s="626">
        <v>43608</v>
      </c>
      <c r="Z11" s="626">
        <v>43609</v>
      </c>
      <c r="AA11" s="626">
        <v>43610</v>
      </c>
      <c r="AB11" s="628">
        <v>43611</v>
      </c>
      <c r="AC11" s="626">
        <v>43612</v>
      </c>
      <c r="AD11" s="626">
        <v>43613</v>
      </c>
      <c r="AE11" s="626">
        <v>43614</v>
      </c>
      <c r="AF11" s="626">
        <v>43615</v>
      </c>
      <c r="AG11" s="626">
        <v>43616</v>
      </c>
    </row>
    <row r="12" spans="1:33" ht="30" customHeight="1" x14ac:dyDescent="0.2">
      <c r="B12" s="573" t="s">
        <v>384</v>
      </c>
      <c r="C12" s="626">
        <v>43617</v>
      </c>
      <c r="D12" s="626">
        <v>43618</v>
      </c>
      <c r="E12" s="626">
        <v>43619</v>
      </c>
      <c r="F12" s="626">
        <v>43620</v>
      </c>
      <c r="G12" s="626">
        <v>43621</v>
      </c>
      <c r="H12" s="626">
        <v>43622</v>
      </c>
      <c r="I12" s="626">
        <v>43623</v>
      </c>
      <c r="J12" s="626">
        <v>43624</v>
      </c>
      <c r="K12" s="628">
        <v>43625</v>
      </c>
      <c r="L12" s="626">
        <v>43626</v>
      </c>
      <c r="M12" s="626">
        <v>43627</v>
      </c>
      <c r="N12" s="626">
        <v>43628</v>
      </c>
      <c r="O12" s="626">
        <v>43629</v>
      </c>
      <c r="P12" s="626">
        <v>43630</v>
      </c>
      <c r="Q12" s="626">
        <v>43631</v>
      </c>
      <c r="R12" s="626">
        <v>43632</v>
      </c>
      <c r="S12" s="626">
        <v>43633</v>
      </c>
      <c r="T12" s="626">
        <v>43634</v>
      </c>
      <c r="U12" s="626">
        <v>43635</v>
      </c>
      <c r="V12" s="626">
        <v>43636</v>
      </c>
      <c r="W12" s="626">
        <v>43637</v>
      </c>
      <c r="X12" s="626">
        <v>43638</v>
      </c>
      <c r="Y12" s="628">
        <v>43639</v>
      </c>
      <c r="Z12" s="626">
        <v>43640</v>
      </c>
      <c r="AA12" s="626">
        <v>43641</v>
      </c>
      <c r="AB12" s="626">
        <v>43642</v>
      </c>
      <c r="AC12" s="626">
        <v>43643</v>
      </c>
      <c r="AD12" s="626">
        <v>43644</v>
      </c>
      <c r="AE12" s="626">
        <v>43645</v>
      </c>
      <c r="AF12" s="628">
        <v>43646</v>
      </c>
      <c r="AG12" s="625"/>
    </row>
    <row r="13" spans="1:33" ht="30" customHeight="1" x14ac:dyDescent="0.2">
      <c r="B13" s="573" t="s">
        <v>385</v>
      </c>
      <c r="C13" s="626">
        <v>43647</v>
      </c>
      <c r="D13" s="626">
        <v>43648</v>
      </c>
      <c r="E13" s="626">
        <v>43649</v>
      </c>
      <c r="F13" s="626">
        <v>43650</v>
      </c>
      <c r="G13" s="626">
        <v>43651</v>
      </c>
      <c r="H13" s="626">
        <v>43652</v>
      </c>
      <c r="I13" s="626">
        <v>43653</v>
      </c>
      <c r="J13" s="626">
        <v>43654</v>
      </c>
      <c r="K13" s="626">
        <v>43655</v>
      </c>
      <c r="L13" s="626">
        <v>43656</v>
      </c>
      <c r="M13" s="626">
        <v>43657</v>
      </c>
      <c r="N13" s="626">
        <v>43658</v>
      </c>
      <c r="O13" s="626">
        <v>43659</v>
      </c>
      <c r="P13" s="628">
        <v>43660</v>
      </c>
      <c r="Q13" s="626">
        <v>43661</v>
      </c>
      <c r="R13" s="626">
        <v>43662</v>
      </c>
      <c r="S13" s="626">
        <v>43663</v>
      </c>
      <c r="T13" s="626">
        <v>43664</v>
      </c>
      <c r="U13" s="626">
        <v>43665</v>
      </c>
      <c r="V13" s="626">
        <v>43666</v>
      </c>
      <c r="W13" s="626">
        <v>43667</v>
      </c>
      <c r="X13" s="626">
        <v>43668</v>
      </c>
      <c r="Y13" s="626">
        <v>43669</v>
      </c>
      <c r="Z13" s="626">
        <v>43670</v>
      </c>
      <c r="AA13" s="626">
        <v>43671</v>
      </c>
      <c r="AB13" s="626">
        <v>43672</v>
      </c>
      <c r="AC13" s="626">
        <v>43673</v>
      </c>
      <c r="AD13" s="628">
        <v>43674</v>
      </c>
      <c r="AE13" s="626">
        <v>43675</v>
      </c>
      <c r="AF13" s="626">
        <v>43676</v>
      </c>
      <c r="AG13" s="626">
        <v>43677</v>
      </c>
    </row>
    <row r="14" spans="1:33" s="391" customFormat="1" ht="30" customHeight="1" x14ac:dyDescent="0.2">
      <c r="B14" s="573" t="s">
        <v>386</v>
      </c>
      <c r="C14" s="626">
        <v>43678</v>
      </c>
      <c r="D14" s="626">
        <v>43679</v>
      </c>
      <c r="E14" s="626">
        <v>43680</v>
      </c>
      <c r="F14" s="628">
        <v>43681</v>
      </c>
      <c r="G14" s="626">
        <v>43682</v>
      </c>
      <c r="H14" s="626">
        <v>43683</v>
      </c>
      <c r="I14" s="626">
        <v>43684</v>
      </c>
      <c r="J14" s="626">
        <v>43685</v>
      </c>
      <c r="K14" s="626">
        <v>43686</v>
      </c>
      <c r="L14" s="626">
        <v>43687</v>
      </c>
      <c r="M14" s="626">
        <v>43688</v>
      </c>
      <c r="N14" s="626">
        <v>43689</v>
      </c>
      <c r="O14" s="626">
        <v>43690</v>
      </c>
      <c r="P14" s="626">
        <v>43691</v>
      </c>
      <c r="Q14" s="626">
        <v>43692</v>
      </c>
      <c r="R14" s="626">
        <v>43693</v>
      </c>
      <c r="S14" s="626">
        <v>43694</v>
      </c>
      <c r="T14" s="626">
        <v>43695</v>
      </c>
      <c r="U14" s="626">
        <v>43696</v>
      </c>
      <c r="V14" s="626">
        <v>43697</v>
      </c>
      <c r="W14" s="626">
        <v>43698</v>
      </c>
      <c r="X14" s="626">
        <v>43699</v>
      </c>
      <c r="Y14" s="626">
        <v>43700</v>
      </c>
      <c r="Z14" s="626">
        <v>43701</v>
      </c>
      <c r="AA14" s="626">
        <v>43702</v>
      </c>
      <c r="AB14" s="626">
        <v>43703</v>
      </c>
      <c r="AC14" s="626">
        <v>43704</v>
      </c>
      <c r="AD14" s="626">
        <v>43705</v>
      </c>
      <c r="AE14" s="626">
        <v>43706</v>
      </c>
      <c r="AF14" s="626">
        <v>43707</v>
      </c>
      <c r="AG14" s="626">
        <v>43708</v>
      </c>
    </row>
    <row r="15" spans="1:33" ht="30" customHeight="1" x14ac:dyDescent="0.2">
      <c r="B15" s="573" t="s">
        <v>387</v>
      </c>
      <c r="C15" s="628">
        <v>43709</v>
      </c>
      <c r="D15" s="627">
        <v>43710</v>
      </c>
      <c r="E15" s="627">
        <v>43711</v>
      </c>
      <c r="F15" s="627">
        <v>43712</v>
      </c>
      <c r="G15" s="627">
        <v>43713</v>
      </c>
      <c r="H15" s="627">
        <v>43714</v>
      </c>
      <c r="I15" s="627">
        <v>43715</v>
      </c>
      <c r="J15" s="628">
        <v>43716</v>
      </c>
      <c r="K15" s="627">
        <v>43717</v>
      </c>
      <c r="L15" s="627">
        <v>43718</v>
      </c>
      <c r="M15" s="627">
        <v>43719</v>
      </c>
      <c r="N15" s="627">
        <v>43720</v>
      </c>
      <c r="O15" s="627">
        <v>43721</v>
      </c>
      <c r="P15" s="627">
        <v>43722</v>
      </c>
      <c r="Q15" s="627">
        <v>43723</v>
      </c>
      <c r="R15" s="627">
        <v>43724</v>
      </c>
      <c r="S15" s="627">
        <v>43725</v>
      </c>
      <c r="T15" s="627">
        <v>43726</v>
      </c>
      <c r="U15" s="627">
        <v>43727</v>
      </c>
      <c r="V15" s="627">
        <v>43728</v>
      </c>
      <c r="W15" s="627">
        <v>43729</v>
      </c>
      <c r="X15" s="628">
        <v>43730</v>
      </c>
      <c r="Y15" s="627">
        <v>43731</v>
      </c>
      <c r="Z15" s="627">
        <v>43732</v>
      </c>
      <c r="AA15" s="627">
        <v>43733</v>
      </c>
      <c r="AB15" s="627">
        <v>43734</v>
      </c>
      <c r="AC15" s="627">
        <v>43735</v>
      </c>
      <c r="AD15" s="627">
        <v>43736</v>
      </c>
      <c r="AE15" s="628">
        <v>43737</v>
      </c>
      <c r="AF15" s="627">
        <v>43738</v>
      </c>
      <c r="AG15" s="625"/>
    </row>
    <row r="16" spans="1:33" ht="30" customHeight="1" x14ac:dyDescent="0.2">
      <c r="B16" s="573" t="s">
        <v>388</v>
      </c>
      <c r="C16" s="627">
        <v>43739</v>
      </c>
      <c r="D16" s="627">
        <v>43740</v>
      </c>
      <c r="E16" s="627">
        <v>43741</v>
      </c>
      <c r="F16" s="627">
        <v>43742</v>
      </c>
      <c r="G16" s="627">
        <v>43743</v>
      </c>
      <c r="H16" s="627">
        <v>43744</v>
      </c>
      <c r="I16" s="627">
        <v>43745</v>
      </c>
      <c r="J16" s="627">
        <v>43746</v>
      </c>
      <c r="K16" s="627">
        <v>43747</v>
      </c>
      <c r="L16" s="627">
        <v>43748</v>
      </c>
      <c r="M16" s="627">
        <v>43749</v>
      </c>
      <c r="N16" s="627">
        <v>43750</v>
      </c>
      <c r="O16" s="628">
        <v>43751</v>
      </c>
      <c r="P16" s="627">
        <v>43752</v>
      </c>
      <c r="Q16" s="627">
        <v>43753</v>
      </c>
      <c r="R16" s="627">
        <v>43754</v>
      </c>
      <c r="S16" s="627">
        <v>43755</v>
      </c>
      <c r="T16" s="627">
        <v>43756</v>
      </c>
      <c r="U16" s="627">
        <v>43757</v>
      </c>
      <c r="V16" s="627">
        <v>43758</v>
      </c>
      <c r="W16" s="627">
        <v>43759</v>
      </c>
      <c r="X16" s="627">
        <v>43760</v>
      </c>
      <c r="Y16" s="627">
        <v>43761</v>
      </c>
      <c r="Z16" s="627">
        <v>43762</v>
      </c>
      <c r="AA16" s="627">
        <v>43763</v>
      </c>
      <c r="AB16" s="627">
        <v>43764</v>
      </c>
      <c r="AC16" s="628">
        <v>43765</v>
      </c>
      <c r="AD16" s="627">
        <v>43766</v>
      </c>
      <c r="AE16" s="627">
        <v>43767</v>
      </c>
      <c r="AF16" s="627">
        <v>43768</v>
      </c>
      <c r="AG16" s="627">
        <v>43769</v>
      </c>
    </row>
    <row r="17" spans="2:33" ht="30" customHeight="1" x14ac:dyDescent="0.2">
      <c r="B17" s="573" t="s">
        <v>389</v>
      </c>
      <c r="C17" s="627">
        <v>43770</v>
      </c>
      <c r="D17" s="627">
        <v>43771</v>
      </c>
      <c r="E17" s="628">
        <v>43772</v>
      </c>
      <c r="F17" s="627">
        <v>43773</v>
      </c>
      <c r="G17" s="627">
        <v>43774</v>
      </c>
      <c r="H17" s="627">
        <v>43775</v>
      </c>
      <c r="I17" s="627">
        <v>43776</v>
      </c>
      <c r="J17" s="627">
        <v>43777</v>
      </c>
      <c r="K17" s="627">
        <v>43778</v>
      </c>
      <c r="L17" s="627">
        <v>43779</v>
      </c>
      <c r="M17" s="627">
        <v>43780</v>
      </c>
      <c r="N17" s="627">
        <v>43781</v>
      </c>
      <c r="O17" s="627">
        <v>43782</v>
      </c>
      <c r="P17" s="627">
        <v>43783</v>
      </c>
      <c r="Q17" s="627">
        <v>43784</v>
      </c>
      <c r="R17" s="627">
        <v>43785</v>
      </c>
      <c r="S17" s="628">
        <v>43786</v>
      </c>
      <c r="T17" s="627">
        <v>43787</v>
      </c>
      <c r="U17" s="627">
        <v>43788</v>
      </c>
      <c r="V17" s="627">
        <v>43789</v>
      </c>
      <c r="W17" s="627">
        <v>43790</v>
      </c>
      <c r="X17" s="627">
        <v>43791</v>
      </c>
      <c r="Y17" s="627">
        <v>43792</v>
      </c>
      <c r="Z17" s="627">
        <v>43793</v>
      </c>
      <c r="AA17" s="627">
        <v>43794</v>
      </c>
      <c r="AB17" s="627">
        <v>43795</v>
      </c>
      <c r="AC17" s="627">
        <v>43796</v>
      </c>
      <c r="AD17" s="627">
        <v>43797</v>
      </c>
      <c r="AE17" s="627">
        <v>43798</v>
      </c>
      <c r="AF17" s="627">
        <v>43799</v>
      </c>
      <c r="AG17" s="625"/>
    </row>
    <row r="18" spans="2:33" ht="30" customHeight="1" x14ac:dyDescent="0.2">
      <c r="B18" s="573" t="s">
        <v>558</v>
      </c>
      <c r="C18" s="628">
        <v>43800</v>
      </c>
      <c r="D18" s="627">
        <v>43801</v>
      </c>
      <c r="E18" s="627">
        <v>43802</v>
      </c>
      <c r="F18" s="627">
        <v>43803</v>
      </c>
      <c r="G18" s="627">
        <v>43804</v>
      </c>
      <c r="H18" s="627">
        <v>43805</v>
      </c>
      <c r="I18" s="627">
        <v>43806</v>
      </c>
      <c r="J18" s="627">
        <v>43807</v>
      </c>
      <c r="K18" s="627">
        <v>43808</v>
      </c>
      <c r="L18" s="627">
        <v>43809</v>
      </c>
      <c r="M18" s="627">
        <v>43810</v>
      </c>
      <c r="N18" s="627">
        <v>43811</v>
      </c>
      <c r="O18" s="627">
        <v>43812</v>
      </c>
      <c r="P18" s="627">
        <v>43813</v>
      </c>
      <c r="Q18" s="627">
        <v>43814</v>
      </c>
      <c r="R18" s="627">
        <v>43815</v>
      </c>
      <c r="S18" s="627">
        <v>43816</v>
      </c>
      <c r="T18" s="627">
        <v>43817</v>
      </c>
      <c r="U18" s="627">
        <v>43818</v>
      </c>
      <c r="V18" s="627">
        <v>43819</v>
      </c>
      <c r="W18" s="627">
        <v>43820</v>
      </c>
      <c r="X18" s="627">
        <v>43821</v>
      </c>
      <c r="Y18" s="627">
        <v>43822</v>
      </c>
      <c r="Z18" s="627">
        <v>43823</v>
      </c>
      <c r="AA18" s="627">
        <v>43824</v>
      </c>
      <c r="AB18" s="627">
        <v>43825</v>
      </c>
      <c r="AC18" s="627">
        <v>43826</v>
      </c>
      <c r="AD18" s="627">
        <v>43827</v>
      </c>
      <c r="AE18" s="627">
        <v>43828</v>
      </c>
      <c r="AF18" s="627">
        <v>43829</v>
      </c>
      <c r="AG18" s="627">
        <v>43830</v>
      </c>
    </row>
    <row r="19" spans="2:33" ht="12.75" customHeight="1" x14ac:dyDescent="0.2">
      <c r="G19" s="415"/>
      <c r="H19" s="416"/>
      <c r="I19" s="371"/>
    </row>
    <row r="20" spans="2:33" ht="12.75" customHeight="1" x14ac:dyDescent="0.2">
      <c r="G20" s="415"/>
      <c r="H20" s="416"/>
      <c r="I20" s="371"/>
    </row>
    <row r="21" spans="2:33" ht="12.75" customHeight="1" x14ac:dyDescent="0.2">
      <c r="G21" s="415"/>
      <c r="H21" s="416"/>
      <c r="I21" s="371"/>
    </row>
    <row r="22" spans="2:33" ht="12.75" customHeight="1" x14ac:dyDescent="0.2">
      <c r="G22" s="415"/>
      <c r="H22" s="416"/>
      <c r="I22" s="371"/>
    </row>
    <row r="24" spans="2:33" ht="12.75" customHeight="1" x14ac:dyDescent="0.2">
      <c r="K24" s="413"/>
    </row>
    <row r="30" spans="2:33" s="391" customFormat="1" ht="12.75" customHeight="1" x14ac:dyDescent="0.2">
      <c r="E30" s="366"/>
      <c r="F30" s="366"/>
      <c r="G30" s="366"/>
      <c r="H30" s="366"/>
      <c r="I30" s="366"/>
      <c r="J30" s="366"/>
    </row>
  </sheetData>
  <sheetProtection sheet="1" formatColumns="0" formatRows="0" selectLockedCells="1" selectUnlockedCells="1"/>
  <mergeCells count="1">
    <mergeCell ref="C6:AG6"/>
  </mergeCells>
  <conditionalFormatting sqref="C10:O10 C11:M11 C12:J12 C14:E14 D15:W15 C17:D17 D18:AG18 C9:R9 T9:AF9 Q10:AC10 AE10:AF10 AC11:AG11 Z12:AE12 C13:O13 AE13:AG13 O11:AA11 L12:X12 Q13:AC13 G14:AG14 F17:R17 C16:AB16 T17:AF17 Y15:AD15 AD16:AG16 AF15">
    <cfRule type="cellIs" dxfId="117" priority="7" operator="lessThan">
      <formula>NOW()</formula>
    </cfRule>
  </conditionalFormatting>
  <conditionalFormatting sqref="P13">
    <cfRule type="cellIs" dxfId="116" priority="6" operator="lessThan">
      <formula>NOW()</formula>
    </cfRule>
  </conditionalFormatting>
  <conditionalFormatting sqref="S17">
    <cfRule type="cellIs" dxfId="115" priority="5" operator="lessThan">
      <formula>NOW()</formula>
    </cfRule>
  </conditionalFormatting>
  <conditionalFormatting sqref="X15">
    <cfRule type="cellIs" dxfId="114" priority="4" operator="lessThan">
      <formula>NOW()</formula>
    </cfRule>
  </conditionalFormatting>
  <conditionalFormatting sqref="AC16">
    <cfRule type="cellIs" dxfId="113" priority="3" operator="lessThan">
      <formula>NOW()</formula>
    </cfRule>
  </conditionalFormatting>
  <conditionalFormatting sqref="AE15">
    <cfRule type="cellIs" dxfId="112" priority="2" operator="lessThan">
      <formula>NOW()</formula>
    </cfRule>
  </conditionalFormatting>
  <conditionalFormatting sqref="AD13">
    <cfRule type="cellIs" dxfId="111" priority="1" operator="lessThan">
      <formula>NOW()</formula>
    </cfRule>
  </conditionalFormatting>
  <pageMargins left="0.62992125984251968" right="0.47244094488188981" top="0.6692913385826772" bottom="0.98425196850393704" header="0.51181102362204722" footer="0.51181102362204722"/>
  <pageSetup paperSize="9" orientation="landscape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/>
  <dimension ref="A1:O28"/>
  <sheetViews>
    <sheetView showGridLines="0" showRowColHeaders="0" zoomScaleNormal="100" workbookViewId="0">
      <selection activeCell="A8" sqref="A8"/>
    </sheetView>
  </sheetViews>
  <sheetFormatPr defaultColWidth="9.28515625" defaultRowHeight="12.75" x14ac:dyDescent="0.2"/>
  <cols>
    <col min="1" max="1" width="10.7109375" style="436" customWidth="1"/>
    <col min="2" max="2" width="14.42578125" style="422" customWidth="1"/>
    <col min="3" max="3" width="6.7109375" style="422" customWidth="1"/>
    <col min="4" max="4" width="3.7109375" style="422" customWidth="1"/>
    <col min="5" max="5" width="12" style="422" customWidth="1"/>
    <col min="6" max="6" width="12.28515625" style="422" customWidth="1"/>
    <col min="7" max="7" width="9.28515625" style="422"/>
    <col min="8" max="8" width="11.85546875" style="422" customWidth="1"/>
    <col min="9" max="9" width="9.42578125" style="422" bestFit="1" customWidth="1"/>
    <col min="10" max="10" width="12" style="422" customWidth="1"/>
    <col min="11" max="16384" width="9.28515625" style="422"/>
  </cols>
  <sheetData>
    <row r="1" spans="1:15" ht="8.1" customHeight="1" x14ac:dyDescent="0.2">
      <c r="B1" s="421"/>
    </row>
    <row r="2" spans="1:15" s="425" customFormat="1" ht="8.1" customHeight="1" x14ac:dyDescent="0.55000000000000004">
      <c r="A2" s="437"/>
      <c r="B2" s="423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</row>
    <row r="3" spans="1:15" ht="8.1" customHeight="1" x14ac:dyDescent="0.2">
      <c r="B3" s="421"/>
      <c r="O3" s="426"/>
    </row>
    <row r="4" spans="1:15" ht="8.1" customHeight="1" x14ac:dyDescent="0.2">
      <c r="B4" s="421"/>
    </row>
    <row r="5" spans="1:15" ht="15" x14ac:dyDescent="0.25">
      <c r="A5" s="438" t="str">
        <f>A7&amp;" "&amp;A8</f>
        <v>GP 14</v>
      </c>
      <c r="B5" s="421"/>
      <c r="O5" s="427"/>
    </row>
    <row r="6" spans="1:15" ht="15.75" customHeight="1" x14ac:dyDescent="0.2">
      <c r="A6" s="439"/>
      <c r="B6" s="421"/>
    </row>
    <row r="7" spans="1:15" ht="13.5" customHeight="1" x14ac:dyDescent="0.2">
      <c r="A7" s="436" t="s">
        <v>95</v>
      </c>
      <c r="B7" s="421"/>
      <c r="I7" s="428"/>
    </row>
    <row r="8" spans="1:15" ht="19.5" customHeight="1" x14ac:dyDescent="0.3">
      <c r="A8" s="439">
        <v>14</v>
      </c>
      <c r="B8" s="421"/>
      <c r="C8" s="720" t="str">
        <f>"GP van "&amp;(VLOOKUP($A$5,grandprix,2,0))</f>
        <v>GP van Italië</v>
      </c>
      <c r="D8" s="721"/>
      <c r="E8" s="721"/>
      <c r="F8" s="721"/>
      <c r="G8" s="721"/>
      <c r="H8" s="721"/>
      <c r="I8" s="721"/>
      <c r="J8" s="722"/>
    </row>
    <row r="9" spans="1:15" ht="15.75" x14ac:dyDescent="0.25">
      <c r="A9" s="436" t="str">
        <f>VLOOKUP(A5,grandprix,4,0)</f>
        <v>Italië</v>
      </c>
      <c r="B9" s="421"/>
      <c r="C9" s="429"/>
      <c r="D9" s="430"/>
      <c r="E9" s="431"/>
      <c r="F9" s="432"/>
      <c r="G9" s="430"/>
      <c r="H9" s="430"/>
      <c r="I9" s="433"/>
      <c r="J9" s="434"/>
    </row>
    <row r="10" spans="1:15" x14ac:dyDescent="0.2">
      <c r="B10" s="421"/>
      <c r="C10" s="265"/>
      <c r="D10" s="2"/>
      <c r="E10" s="133" t="s">
        <v>276</v>
      </c>
      <c r="F10" s="719">
        <f>VLOOKUP($A$5,grandprix,3,0)</f>
        <v>43716</v>
      </c>
      <c r="G10" s="719"/>
      <c r="H10" s="2"/>
      <c r="I10" s="206"/>
      <c r="J10" s="266"/>
    </row>
    <row r="11" spans="1:15" x14ac:dyDescent="0.2">
      <c r="B11" s="421"/>
      <c r="C11" s="265"/>
      <c r="D11" s="2"/>
      <c r="E11" s="133" t="s">
        <v>274</v>
      </c>
      <c r="F11" s="207">
        <f>VLOOKUP($A$5,grandprix,7,0)</f>
        <v>0.63194444444444442</v>
      </c>
      <c r="G11" s="85" t="s">
        <v>223</v>
      </c>
      <c r="H11" s="2"/>
      <c r="I11" s="206"/>
      <c r="J11" s="266"/>
    </row>
    <row r="12" spans="1:15" x14ac:dyDescent="0.2">
      <c r="B12" s="421"/>
      <c r="C12" s="265"/>
      <c r="D12" s="2"/>
      <c r="E12" s="133" t="s">
        <v>277</v>
      </c>
      <c r="F12" s="207">
        <f>VLOOKUP($A$5,grandprix,8,0)</f>
        <v>0.63194444444444442</v>
      </c>
      <c r="G12" s="85" t="s">
        <v>223</v>
      </c>
      <c r="H12" s="2"/>
      <c r="I12" s="206"/>
      <c r="J12" s="266"/>
    </row>
    <row r="13" spans="1:15" x14ac:dyDescent="0.2">
      <c r="C13" s="267"/>
      <c r="D13" s="268"/>
      <c r="E13" s="268"/>
      <c r="F13" s="268"/>
      <c r="G13" s="268"/>
      <c r="H13" s="268"/>
      <c r="I13" s="269"/>
      <c r="J13" s="270"/>
    </row>
    <row r="14" spans="1:15" x14ac:dyDescent="0.2">
      <c r="C14" s="261"/>
      <c r="D14" s="262"/>
      <c r="E14" s="271" t="s">
        <v>278</v>
      </c>
      <c r="F14" s="272" t="str">
        <f>VLOOKUP($A$5,grandprix,4,0)</f>
        <v>Italië</v>
      </c>
      <c r="G14" s="262"/>
      <c r="H14" s="262"/>
      <c r="I14" s="263"/>
      <c r="J14" s="264"/>
    </row>
    <row r="15" spans="1:15" x14ac:dyDescent="0.2">
      <c r="C15" s="265"/>
      <c r="D15" s="2"/>
      <c r="E15" s="133" t="s">
        <v>279</v>
      </c>
      <c r="F15" s="208" t="str">
        <f>VLOOKUP($A$5,grandprix,5,0)</f>
        <v>Monza</v>
      </c>
      <c r="G15" s="2"/>
      <c r="H15" s="2"/>
      <c r="I15" s="206"/>
      <c r="J15" s="266"/>
    </row>
    <row r="16" spans="1:15" x14ac:dyDescent="0.2">
      <c r="C16" s="265"/>
      <c r="D16" s="2"/>
      <c r="E16" s="133" t="s">
        <v>280</v>
      </c>
      <c r="F16" s="208" t="str">
        <f>VLOOKUP($A$5,grandprix,6,0)</f>
        <v>Autodromo Nazionale di Monza</v>
      </c>
      <c r="G16" s="2"/>
      <c r="H16" s="2"/>
      <c r="I16" s="206"/>
      <c r="J16" s="266"/>
    </row>
    <row r="17" spans="3:10" x14ac:dyDescent="0.2">
      <c r="C17" s="265"/>
      <c r="D17" s="2"/>
      <c r="E17" s="133" t="s">
        <v>281</v>
      </c>
      <c r="F17" s="209" t="str">
        <f>(VLOOKUP($A$5,grandprix,9,0)&amp;" km")</f>
        <v>5,793 km</v>
      </c>
      <c r="G17" s="2"/>
      <c r="H17" s="2"/>
      <c r="I17" s="206"/>
      <c r="J17" s="266"/>
    </row>
    <row r="18" spans="3:10" x14ac:dyDescent="0.2">
      <c r="C18" s="265"/>
      <c r="D18" s="2"/>
      <c r="E18" s="133" t="s">
        <v>275</v>
      </c>
      <c r="F18" s="209">
        <f>VLOOKUP($A$5,grandprix,10,0)</f>
        <v>53</v>
      </c>
      <c r="G18" s="2"/>
      <c r="H18" s="2"/>
      <c r="I18" s="206"/>
      <c r="J18" s="266"/>
    </row>
    <row r="19" spans="3:10" x14ac:dyDescent="0.2">
      <c r="C19" s="267"/>
      <c r="D19" s="268"/>
      <c r="E19" s="273"/>
      <c r="F19" s="274"/>
      <c r="G19" s="268"/>
      <c r="H19" s="268"/>
      <c r="I19" s="269"/>
      <c r="J19" s="270"/>
    </row>
    <row r="20" spans="3:10" x14ac:dyDescent="0.2">
      <c r="C20" s="261"/>
      <c r="D20" s="262"/>
      <c r="E20" s="271" t="s">
        <v>499</v>
      </c>
      <c r="F20" s="275" t="str">
        <f>VLOOKUP($A$5,grandprix,11,0)</f>
        <v>R. Barrichello</v>
      </c>
      <c r="G20" s="262"/>
      <c r="H20" s="729" t="s">
        <v>498</v>
      </c>
      <c r="I20" s="729"/>
      <c r="J20" s="730"/>
    </row>
    <row r="21" spans="3:10" x14ac:dyDescent="0.2">
      <c r="C21" s="265"/>
      <c r="D21" s="2"/>
      <c r="E21" s="133" t="s">
        <v>274</v>
      </c>
      <c r="F21" s="210">
        <f>VLOOKUP($A$5,grandprix,12,0)</f>
        <v>9.3803240740740739E-4</v>
      </c>
      <c r="G21" s="2"/>
      <c r="H21" s="2"/>
      <c r="I21" s="206"/>
      <c r="J21" s="266"/>
    </row>
    <row r="22" spans="3:10" x14ac:dyDescent="0.2">
      <c r="C22" s="265"/>
      <c r="D22" s="2"/>
      <c r="E22" s="133" t="s">
        <v>273</v>
      </c>
      <c r="F22" s="85">
        <f>VLOOKUP($A$5,grandprix,13,0)</f>
        <v>2004</v>
      </c>
      <c r="G22" s="2"/>
      <c r="H22" s="2"/>
      <c r="I22" s="206"/>
      <c r="J22" s="266"/>
    </row>
    <row r="23" spans="3:10" x14ac:dyDescent="0.2">
      <c r="C23" s="267"/>
      <c r="D23" s="268"/>
      <c r="E23" s="273"/>
      <c r="F23" s="274"/>
      <c r="G23" s="268"/>
      <c r="H23" s="268"/>
      <c r="I23" s="269"/>
      <c r="J23" s="270"/>
    </row>
    <row r="24" spans="3:10" x14ac:dyDescent="0.2">
      <c r="C24" s="723">
        <f>VLOOKUP($A$5,grandprix,14,0)</f>
        <v>2018</v>
      </c>
      <c r="D24" s="282"/>
      <c r="E24" s="283" t="s">
        <v>272</v>
      </c>
      <c r="F24" s="284" t="str">
        <f>VLOOKUP($A$5,grandprix,15,0)</f>
        <v>K. Raïkkönen</v>
      </c>
      <c r="G24" s="285"/>
      <c r="H24" s="284" t="str">
        <f>VLOOKUP($A$5,grandprix,16,0)</f>
        <v>Ferrari</v>
      </c>
      <c r="I24" s="286">
        <f>VLOOKUP($A$5,grandprix,17,0)</f>
        <v>9.1572916666666658E-4</v>
      </c>
      <c r="J24" s="287"/>
    </row>
    <row r="25" spans="3:10" x14ac:dyDescent="0.2">
      <c r="C25" s="724"/>
      <c r="D25" s="726" t="s">
        <v>271</v>
      </c>
      <c r="E25" s="276" t="str">
        <f>"1 :"</f>
        <v>1 :</v>
      </c>
      <c r="F25" s="275" t="str">
        <f>VLOOKUP($A$5,grandprix,18,0)</f>
        <v>L. Hamilton</v>
      </c>
      <c r="G25" s="277"/>
      <c r="H25" s="275" t="str">
        <f>VLOOKUP($A$5,grandprix,19,0)</f>
        <v>Mercedes</v>
      </c>
      <c r="I25" s="278"/>
      <c r="J25" s="264"/>
    </row>
    <row r="26" spans="3:10" x14ac:dyDescent="0.2">
      <c r="C26" s="724"/>
      <c r="D26" s="727"/>
      <c r="E26" s="279" t="str">
        <f>"2 :"</f>
        <v>2 :</v>
      </c>
      <c r="F26" s="85" t="str">
        <f>VLOOKUP($A$5,grandprix,20,0)</f>
        <v>K. Raïkkönen</v>
      </c>
      <c r="G26" s="211"/>
      <c r="H26" s="85" t="str">
        <f>VLOOKUP($A$5,grandprix,21,0)</f>
        <v>Ferrari</v>
      </c>
      <c r="I26" s="85"/>
      <c r="J26" s="266"/>
    </row>
    <row r="27" spans="3:10" x14ac:dyDescent="0.2">
      <c r="C27" s="725"/>
      <c r="D27" s="728"/>
      <c r="E27" s="280" t="str">
        <f>"3 :"</f>
        <v>3 :</v>
      </c>
      <c r="F27" s="274" t="str">
        <f>VLOOKUP($A$5,grandprix,22,0)</f>
        <v>V. Bottas</v>
      </c>
      <c r="G27" s="281"/>
      <c r="H27" s="274" t="str">
        <f>VLOOKUP($A$5,grandprix,23,0)</f>
        <v>Mercedes</v>
      </c>
      <c r="I27" s="274"/>
      <c r="J27" s="270"/>
    </row>
    <row r="28" spans="3:10" x14ac:dyDescent="0.2">
      <c r="E28" s="435"/>
      <c r="F28" s="435"/>
    </row>
  </sheetData>
  <sheetProtection sheet="1" formatColumns="0" formatRows="0" selectLockedCells="1" selectUnlockedCells="1"/>
  <mergeCells count="5">
    <mergeCell ref="F10:G10"/>
    <mergeCell ref="C8:J8"/>
    <mergeCell ref="C24:C27"/>
    <mergeCell ref="D25:D27"/>
    <mergeCell ref="H20:J20"/>
  </mergeCells>
  <phoneticPr fontId="2" type="noConversion"/>
  <conditionalFormatting sqref="F20:F22">
    <cfRule type="cellIs" dxfId="110" priority="1" operator="equal">
      <formula>"nnb"</formula>
    </cfRule>
  </conditionalFormatting>
  <pageMargins left="0.75" right="0.75" top="1" bottom="1" header="0.5" footer="0.5"/>
  <pageSetup paperSize="9" orientation="portrait" horizontalDpi="4294967293" verticalDpi="4294967293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13"/>
  <dimension ref="A1:O34"/>
  <sheetViews>
    <sheetView showGridLines="0" showRowColHeaders="0" zoomScaleNormal="100" workbookViewId="0">
      <selection activeCell="A8" sqref="A8"/>
    </sheetView>
  </sheetViews>
  <sheetFormatPr defaultColWidth="9.28515625" defaultRowHeight="12.75" x14ac:dyDescent="0.2"/>
  <cols>
    <col min="1" max="1" width="9.28515625" style="372"/>
    <col min="2" max="2" width="16" style="361" customWidth="1"/>
    <col min="3" max="3" width="4.7109375" style="361" customWidth="1"/>
    <col min="4" max="4" width="14.42578125" style="361" customWidth="1"/>
    <col min="5" max="5" width="5" style="361" customWidth="1"/>
    <col min="6" max="6" width="14.7109375" style="361" customWidth="1"/>
    <col min="7" max="7" width="11.28515625" style="361" customWidth="1"/>
    <col min="8" max="8" width="11.42578125" style="361" bestFit="1" customWidth="1"/>
    <col min="9" max="9" width="15.85546875" style="361" customWidth="1"/>
    <col min="10" max="10" width="12" style="361" customWidth="1"/>
    <col min="11" max="16384" width="9.28515625" style="361"/>
  </cols>
  <sheetData>
    <row r="1" spans="1:15" ht="8.1" customHeight="1" x14ac:dyDescent="0.2">
      <c r="B1" s="360"/>
    </row>
    <row r="2" spans="1:15" s="364" customFormat="1" ht="8.1" customHeight="1" x14ac:dyDescent="0.55000000000000004">
      <c r="A2" s="373"/>
      <c r="B2" s="362"/>
      <c r="C2" s="363"/>
      <c r="D2" s="363"/>
      <c r="E2" s="363"/>
      <c r="F2" s="363"/>
      <c r="G2" s="363"/>
      <c r="H2" s="363"/>
      <c r="I2" s="363"/>
      <c r="J2" s="363"/>
      <c r="K2" s="363"/>
    </row>
    <row r="3" spans="1:15" ht="8.1" customHeight="1" x14ac:dyDescent="0.2">
      <c r="B3" s="360"/>
    </row>
    <row r="4" spans="1:15" ht="8.1" customHeight="1" x14ac:dyDescent="0.2">
      <c r="B4" s="360"/>
    </row>
    <row r="5" spans="1:15" ht="11.1" customHeight="1" x14ac:dyDescent="0.25">
      <c r="A5" s="374" t="str">
        <f>A7&amp;" "&amp;A8</f>
        <v>GP 14</v>
      </c>
      <c r="B5" s="360"/>
    </row>
    <row r="6" spans="1:15" s="366" customFormat="1" ht="11.1" customHeight="1" x14ac:dyDescent="0.2">
      <c r="A6" s="375" t="str">
        <f>A5&amp;" VT1"</f>
        <v>GP 14 VT1</v>
      </c>
      <c r="B6" s="365"/>
    </row>
    <row r="7" spans="1:15" ht="11.1" customHeight="1" x14ac:dyDescent="0.2">
      <c r="A7" s="376" t="s">
        <v>95</v>
      </c>
      <c r="B7" s="365"/>
      <c r="C7" s="366"/>
      <c r="D7" s="366"/>
      <c r="E7" s="366"/>
      <c r="F7" s="366"/>
      <c r="G7" s="366"/>
      <c r="H7" s="366"/>
      <c r="I7" s="366"/>
      <c r="J7" s="366"/>
    </row>
    <row r="8" spans="1:15" ht="12" customHeight="1" x14ac:dyDescent="0.2">
      <c r="A8" s="439">
        <v>14</v>
      </c>
      <c r="B8" s="365"/>
      <c r="C8" s="366"/>
      <c r="D8" s="366"/>
      <c r="E8" s="366"/>
      <c r="F8" s="366"/>
      <c r="G8" s="366"/>
      <c r="H8" s="366"/>
      <c r="I8" s="366"/>
      <c r="J8" s="366"/>
    </row>
    <row r="9" spans="1:15" ht="18.75" x14ac:dyDescent="0.3">
      <c r="A9" s="372" t="str">
        <f>VLOOKUP(A5,grandprix,4,0)</f>
        <v>Italië</v>
      </c>
      <c r="B9" s="365"/>
      <c r="C9" s="732" t="str">
        <f>"GP van "&amp;(VLOOKUP($A$5,grandprix,2,0)&amp;" - uitslag 1e vrije training")</f>
        <v>GP van Italië - uitslag 1e vrije training</v>
      </c>
      <c r="D9" s="732"/>
      <c r="E9" s="732"/>
      <c r="F9" s="732"/>
      <c r="G9" s="732"/>
      <c r="H9" s="732"/>
      <c r="I9" s="732"/>
      <c r="J9" s="368"/>
      <c r="K9" s="366"/>
      <c r="L9" s="366"/>
      <c r="M9" s="366"/>
      <c r="N9" s="366"/>
      <c r="O9" s="366"/>
    </row>
    <row r="10" spans="1:15" ht="12" customHeight="1" x14ac:dyDescent="0.2">
      <c r="B10" s="365"/>
      <c r="I10" s="366"/>
      <c r="J10" s="366"/>
    </row>
    <row r="11" spans="1:15" s="377" customFormat="1" ht="15" customHeight="1" x14ac:dyDescent="0.2">
      <c r="A11" s="398"/>
      <c r="B11" s="418"/>
      <c r="E11" s="419" t="s">
        <v>246</v>
      </c>
      <c r="F11" s="419" t="s">
        <v>283</v>
      </c>
      <c r="G11" s="419" t="s">
        <v>10</v>
      </c>
      <c r="H11" s="419" t="s">
        <v>11</v>
      </c>
      <c r="I11" s="420"/>
      <c r="J11" s="391"/>
    </row>
    <row r="12" spans="1:15" ht="15" customHeight="1" x14ac:dyDescent="0.2">
      <c r="B12" s="365"/>
      <c r="E12" s="289">
        <v>1</v>
      </c>
      <c r="F12" s="290" t="str">
        <f>VLOOKUP($A$6,VT_KW,2,0)</f>
        <v>C. Leclerc</v>
      </c>
      <c r="G12" s="290" t="str">
        <f t="shared" ref="G12:G30" si="0">VLOOKUP(F12,rijder,2,0)</f>
        <v>Ferrari</v>
      </c>
      <c r="H12" s="353">
        <f>VLOOKUP($A$6,VT_KW,3,0)</f>
        <v>1.0174189814814813E-3</v>
      </c>
      <c r="I12" s="369"/>
      <c r="J12" s="366"/>
    </row>
    <row r="13" spans="1:15" ht="15" customHeight="1" x14ac:dyDescent="0.2">
      <c r="B13" s="365"/>
      <c r="E13" s="289">
        <v>2</v>
      </c>
      <c r="F13" s="290" t="str">
        <f>VLOOKUP($A$6,VT_KW,4,0)</f>
        <v>C. Sainz</v>
      </c>
      <c r="G13" s="290" t="str">
        <f t="shared" si="0"/>
        <v>McLaren</v>
      </c>
      <c r="H13" s="353">
        <f>VLOOKUP($A$6,VT_KW,5,0)</f>
        <v>1.0209606481481482E-3</v>
      </c>
      <c r="I13" s="370">
        <f>IF(H13="…"," ",H13-$H$12)</f>
        <v>3.5416666666668838E-6</v>
      </c>
      <c r="J13" s="366"/>
    </row>
    <row r="14" spans="1:15" ht="15" customHeight="1" x14ac:dyDescent="0.2">
      <c r="B14" s="365"/>
      <c r="E14" s="289">
        <v>3</v>
      </c>
      <c r="F14" s="290" t="str">
        <f>VLOOKUP($A$6,VT_KW,6,0)</f>
        <v>L. Norris</v>
      </c>
      <c r="G14" s="290" t="str">
        <f t="shared" si="0"/>
        <v>McLaren</v>
      </c>
      <c r="H14" s="353">
        <f>VLOOKUP($A$6,VT_KW,7,0)</f>
        <v>1.0237268518518518E-3</v>
      </c>
      <c r="I14" s="370">
        <f t="shared" ref="I14:I31" si="1">IF(H14="…"," ",H14-$H$12)</f>
        <v>6.3078703703704948E-6</v>
      </c>
      <c r="J14" s="366"/>
    </row>
    <row r="15" spans="1:15" ht="15" customHeight="1" x14ac:dyDescent="0.2">
      <c r="B15" s="366"/>
      <c r="E15" s="289">
        <v>4</v>
      </c>
      <c r="F15" s="290" t="str">
        <f>VLOOKUP($A$6,VT_KW,8,0)</f>
        <v>L. Hamilton</v>
      </c>
      <c r="G15" s="290" t="str">
        <f t="shared" si="0"/>
        <v>Mercedes</v>
      </c>
      <c r="H15" s="353">
        <f>VLOOKUP($A$6,VT_KW,9,0)</f>
        <v>1.0269675925925926E-3</v>
      </c>
      <c r="I15" s="370">
        <f t="shared" si="1"/>
        <v>9.548611111111216E-6</v>
      </c>
      <c r="J15" s="366"/>
    </row>
    <row r="16" spans="1:15" ht="15" customHeight="1" x14ac:dyDescent="0.2">
      <c r="B16" s="366"/>
      <c r="E16" s="289">
        <v>5</v>
      </c>
      <c r="F16" s="290" t="str">
        <f>VLOOKUP($A$6,VT_KW,10,0)</f>
        <v>A. Albon¹</v>
      </c>
      <c r="G16" s="290" t="str">
        <f t="shared" si="0"/>
        <v>Red Bull</v>
      </c>
      <c r="H16" s="353">
        <f>VLOOKUP($A$6,VT_KW,11,0)</f>
        <v>1.0303819444444444E-3</v>
      </c>
      <c r="I16" s="370">
        <f t="shared" si="1"/>
        <v>1.2962962962963101E-5</v>
      </c>
      <c r="J16" s="366"/>
    </row>
    <row r="17" spans="2:10" ht="15" customHeight="1" x14ac:dyDescent="0.2">
      <c r="B17" s="366"/>
      <c r="E17" s="289">
        <v>6</v>
      </c>
      <c r="F17" s="290" t="str">
        <f>VLOOKUP($A$6,VT_KW,12,0)</f>
        <v>D. Kvyat</v>
      </c>
      <c r="G17" s="290" t="str">
        <f t="shared" si="0"/>
        <v>Toro Rosso</v>
      </c>
      <c r="H17" s="353">
        <f>VLOOKUP($A$6,VT_KW,13,0)</f>
        <v>1.0412037037037037E-3</v>
      </c>
      <c r="I17" s="370">
        <f t="shared" si="1"/>
        <v>2.3784722222222349E-5</v>
      </c>
      <c r="J17" s="366"/>
    </row>
    <row r="18" spans="2:10" ht="15" customHeight="1" x14ac:dyDescent="0.2">
      <c r="B18" s="366"/>
      <c r="E18" s="289">
        <v>7</v>
      </c>
      <c r="F18" s="290" t="str">
        <f>VLOOKUP($A$6,VT_KW,14,0)</f>
        <v>M. Verstappen</v>
      </c>
      <c r="G18" s="290" t="str">
        <f t="shared" si="0"/>
        <v>Red Bull</v>
      </c>
      <c r="H18" s="353">
        <f>VLOOKUP($A$6,VT_KW,15,0)</f>
        <v>1.0428240740740741E-3</v>
      </c>
      <c r="I18" s="370">
        <f t="shared" si="1"/>
        <v>2.540509259259271E-5</v>
      </c>
      <c r="J18" s="366"/>
    </row>
    <row r="19" spans="2:10" ht="15" customHeight="1" x14ac:dyDescent="0.2">
      <c r="B19" s="366"/>
      <c r="E19" s="289">
        <v>8</v>
      </c>
      <c r="F19" s="290" t="str">
        <f>VLOOKUP($A$6,VT_KW,16,0)</f>
        <v>S. Vettel</v>
      </c>
      <c r="G19" s="290" t="str">
        <f t="shared" si="0"/>
        <v>Ferrari</v>
      </c>
      <c r="H19" s="353">
        <f>VLOOKUP($A$6,VT_KW,17,0)</f>
        <v>1.0475347222222223E-3</v>
      </c>
      <c r="I19" s="370">
        <f t="shared" si="1"/>
        <v>3.0115740740740927E-5</v>
      </c>
      <c r="J19" s="366"/>
    </row>
    <row r="20" spans="2:10" ht="15" customHeight="1" x14ac:dyDescent="0.2">
      <c r="B20" s="366"/>
      <c r="E20" s="289">
        <v>9</v>
      </c>
      <c r="F20" s="290" t="str">
        <f>VLOOKUP($A$6,VT_KW,18,0)</f>
        <v>V. Bottas</v>
      </c>
      <c r="G20" s="290" t="str">
        <f t="shared" si="0"/>
        <v>Mercedes</v>
      </c>
      <c r="H20" s="353">
        <f>VLOOKUP($A$6,VT_KW,19,0)</f>
        <v>1.0485648148148149E-3</v>
      </c>
      <c r="I20" s="370">
        <f t="shared" si="1"/>
        <v>3.1145833333333546E-5</v>
      </c>
      <c r="J20" s="366"/>
    </row>
    <row r="21" spans="2:10" ht="15" customHeight="1" x14ac:dyDescent="0.2">
      <c r="B21" s="366"/>
      <c r="E21" s="289">
        <v>10</v>
      </c>
      <c r="F21" s="290" t="str">
        <f>VLOOKUP($A$6,VT_KW,20,0)</f>
        <v>P. Gasly¹</v>
      </c>
      <c r="G21" s="290" t="str">
        <f t="shared" si="0"/>
        <v>Toro Rosso</v>
      </c>
      <c r="H21" s="353">
        <f>VLOOKUP($A$6,VT_KW,21,0)</f>
        <v>1.0497106481481481E-3</v>
      </c>
      <c r="I21" s="370">
        <f t="shared" si="1"/>
        <v>3.2291666666666797E-5</v>
      </c>
      <c r="J21" s="366"/>
    </row>
    <row r="22" spans="2:10" ht="15" customHeight="1" x14ac:dyDescent="0.2">
      <c r="B22" s="366"/>
      <c r="E22" s="289">
        <v>11</v>
      </c>
      <c r="F22" s="290" t="str">
        <f>VLOOKUP($A$6,VT_KW,22,0)</f>
        <v>A. Giovinazzi</v>
      </c>
      <c r="G22" s="290" t="str">
        <f t="shared" si="0"/>
        <v>Alfa Romeo</v>
      </c>
      <c r="H22" s="353">
        <f>VLOOKUP($A$6,VT_KW,23,0)</f>
        <v>1.0746296296296296E-3</v>
      </c>
      <c r="I22" s="370">
        <f t="shared" si="1"/>
        <v>5.7210648148148247E-5</v>
      </c>
      <c r="J22" s="366"/>
    </row>
    <row r="23" spans="2:10" ht="15" customHeight="1" x14ac:dyDescent="0.2">
      <c r="B23" s="366"/>
      <c r="E23" s="289">
        <v>12</v>
      </c>
      <c r="F23" s="290" t="str">
        <f>VLOOKUP($A$6,VT_KW,24,0)</f>
        <v>L. Stroll</v>
      </c>
      <c r="G23" s="290" t="str">
        <f t="shared" si="0"/>
        <v>Racing Point</v>
      </c>
      <c r="H23" s="353">
        <f>VLOOKUP($A$6,VT_KW,25,0)</f>
        <v>1.0876851851851852E-3</v>
      </c>
      <c r="I23" s="370">
        <f t="shared" si="1"/>
        <v>7.0266203703703897E-5</v>
      </c>
      <c r="J23" s="366"/>
    </row>
    <row r="24" spans="2:10" ht="15" customHeight="1" x14ac:dyDescent="0.2">
      <c r="B24" s="366"/>
      <c r="E24" s="289">
        <v>13</v>
      </c>
      <c r="F24" s="290" t="str">
        <f>VLOOKUP($A$6,VT_KW,26,0)</f>
        <v>D. Ricciardo</v>
      </c>
      <c r="G24" s="290" t="str">
        <f t="shared" si="0"/>
        <v>Renault</v>
      </c>
      <c r="H24" s="353">
        <f>VLOOKUP($A$6,VT_KW,27,0)</f>
        <v>1.0940740740740741E-3</v>
      </c>
      <c r="I24" s="370">
        <f t="shared" si="1"/>
        <v>7.665509259259279E-5</v>
      </c>
      <c r="J24" s="366"/>
    </row>
    <row r="25" spans="2:10" ht="15" customHeight="1" x14ac:dyDescent="0.2">
      <c r="B25" s="366"/>
      <c r="E25" s="289">
        <v>14</v>
      </c>
      <c r="F25" s="290" t="str">
        <f>VLOOKUP($A$6,VT_KW,28,0)</f>
        <v>K. Magnussen</v>
      </c>
      <c r="G25" s="290" t="str">
        <f t="shared" si="0"/>
        <v>Haas</v>
      </c>
      <c r="H25" s="353">
        <f>VLOOKUP($A$6,VT_KW,29,0)</f>
        <v>1.0962384259259261E-3</v>
      </c>
      <c r="I25" s="370">
        <f t="shared" si="1"/>
        <v>7.8819444444444726E-5</v>
      </c>
      <c r="J25" s="366"/>
    </row>
    <row r="26" spans="2:10" ht="15" customHeight="1" x14ac:dyDescent="0.2">
      <c r="E26" s="289">
        <v>15</v>
      </c>
      <c r="F26" s="290" t="str">
        <f>VLOOKUP($A$6,VT_KW,30,0)</f>
        <v>N. Hulkenberg</v>
      </c>
      <c r="G26" s="290" t="str">
        <f t="shared" si="0"/>
        <v>Renault</v>
      </c>
      <c r="H26" s="353">
        <f>VLOOKUP($A$6,VT_KW,31,0)</f>
        <v>1.1010763888888889E-3</v>
      </c>
      <c r="I26" s="370">
        <f t="shared" si="1"/>
        <v>8.3657407407407508E-5</v>
      </c>
    </row>
    <row r="27" spans="2:10" ht="15" customHeight="1" x14ac:dyDescent="0.2">
      <c r="E27" s="289">
        <v>16</v>
      </c>
      <c r="F27" s="290" t="str">
        <f>VLOOKUP($A$6,VT_KW,32,0)</f>
        <v>R. Grosjean</v>
      </c>
      <c r="G27" s="290" t="str">
        <f t="shared" si="0"/>
        <v>Haas</v>
      </c>
      <c r="H27" s="353">
        <f>VLOOKUP($A$6,VT_KW,33,0)</f>
        <v>1.1108796296296296E-3</v>
      </c>
      <c r="I27" s="370">
        <f t="shared" si="1"/>
        <v>9.3460648148148287E-5</v>
      </c>
    </row>
    <row r="28" spans="2:10" ht="15" customHeight="1" x14ac:dyDescent="0.2">
      <c r="E28" s="289">
        <v>17</v>
      </c>
      <c r="F28" s="290" t="str">
        <f>VLOOKUP($A$6,VT_KW,34,0)</f>
        <v>R. Kubica</v>
      </c>
      <c r="G28" s="290" t="str">
        <f t="shared" si="0"/>
        <v>Williams</v>
      </c>
      <c r="H28" s="353">
        <f>VLOOKUP($A$6,VT_KW,35,0)</f>
        <v>1.1321296296296296E-3</v>
      </c>
      <c r="I28" s="370">
        <f t="shared" si="1"/>
        <v>1.1471064814814829E-4</v>
      </c>
    </row>
    <row r="29" spans="2:10" ht="15" customHeight="1" x14ac:dyDescent="0.2">
      <c r="E29" s="289">
        <v>18</v>
      </c>
      <c r="F29" s="290" t="str">
        <f>VLOOKUP($A$6,VT_KW,36,0)</f>
        <v>G. Russell</v>
      </c>
      <c r="G29" s="290" t="str">
        <f t="shared" si="0"/>
        <v>Williams</v>
      </c>
      <c r="H29" s="353">
        <f>VLOOKUP($A$6,VT_KW,37,0)</f>
        <v>1.1391319444444446E-3</v>
      </c>
      <c r="I29" s="370">
        <f t="shared" si="1"/>
        <v>1.2171296296296322E-4</v>
      </c>
    </row>
    <row r="30" spans="2:10" ht="15" customHeight="1" x14ac:dyDescent="0.2">
      <c r="E30" s="289">
        <v>19</v>
      </c>
      <c r="F30" s="290" t="str">
        <f>VLOOKUP($A$6,VT_KW,38,0)</f>
        <v>S. Pérez</v>
      </c>
      <c r="G30" s="290" t="str">
        <f t="shared" si="0"/>
        <v>Racing Point</v>
      </c>
      <c r="H30" s="353" t="str">
        <f>VLOOKUP($A$6,VT_KW,39,0)</f>
        <v>…</v>
      </c>
      <c r="I30" s="370" t="str">
        <f t="shared" si="1"/>
        <v xml:space="preserve"> </v>
      </c>
    </row>
    <row r="31" spans="2:10" ht="15" customHeight="1" x14ac:dyDescent="0.2">
      <c r="E31" s="289">
        <v>20</v>
      </c>
      <c r="F31" s="290" t="str">
        <f>VLOOKUP($A$6,VT_KW,40,0)</f>
        <v>K. Raïkkönen</v>
      </c>
      <c r="G31" s="290" t="str">
        <f>VLOOKUP(F31,rijder,2,0)</f>
        <v>Alfa Romeo</v>
      </c>
      <c r="H31" s="353" t="str">
        <f>VLOOKUP($A$6,VT_KW,41,0)</f>
        <v>…</v>
      </c>
      <c r="I31" s="370" t="str">
        <f t="shared" si="1"/>
        <v xml:space="preserve"> </v>
      </c>
    </row>
    <row r="32" spans="2:10" ht="12" customHeight="1" x14ac:dyDescent="0.2">
      <c r="H32" s="366"/>
    </row>
    <row r="33" spans="3:8" ht="15" customHeight="1" x14ac:dyDescent="0.2">
      <c r="C33" s="371"/>
      <c r="D33" s="731"/>
      <c r="E33" s="731"/>
      <c r="F33" s="366"/>
      <c r="G33" s="731"/>
      <c r="H33" s="731"/>
    </row>
    <row r="34" spans="3:8" x14ac:dyDescent="0.2">
      <c r="H34" s="366"/>
    </row>
  </sheetData>
  <sheetProtection sheet="1" formatColumns="0" formatRows="0" selectLockedCells="1" selectUnlockedCells="1"/>
  <mergeCells count="3">
    <mergeCell ref="D33:E33"/>
    <mergeCell ref="G33:H33"/>
    <mergeCell ref="C9:I9"/>
  </mergeCells>
  <phoneticPr fontId="2" type="noConversion"/>
  <conditionalFormatting sqref="E12:E31">
    <cfRule type="expression" dxfId="109" priority="2" stopIfTrue="1">
      <formula>IF(#REF!,TRUE)</formula>
    </cfRule>
    <cfRule type="expression" dxfId="108" priority="3" stopIfTrue="1">
      <formula>IF(#REF!,TRUE)</formula>
    </cfRule>
  </conditionalFormatting>
  <conditionalFormatting sqref="H12:H31">
    <cfRule type="cellIs" dxfId="107" priority="4" stopIfTrue="1" operator="equal">
      <formula>"geen tijd"</formula>
    </cfRule>
  </conditionalFormatting>
  <dataValidations count="1">
    <dataValidation type="whole" allowBlank="1" showInputMessage="1" showErrorMessage="1" sqref="A8" xr:uid="{00000000-0002-0000-0300-000000000000}">
      <formula1>1</formula1>
      <formula2>21</formula2>
    </dataValidation>
  </dataValidations>
  <pageMargins left="0.75" right="0.75" top="1" bottom="1" header="0.5" footer="0.5"/>
  <pageSetup paperSize="9" orientation="portrait" horizontalDpi="4294967293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14"/>
  <dimension ref="A1:O34"/>
  <sheetViews>
    <sheetView showGridLines="0" showRowColHeaders="0" zoomScaleNormal="100" workbookViewId="0">
      <selection activeCell="A8" sqref="A8"/>
    </sheetView>
  </sheetViews>
  <sheetFormatPr defaultColWidth="9.28515625" defaultRowHeight="12.75" x14ac:dyDescent="0.2"/>
  <cols>
    <col min="1" max="1" width="9.28515625" style="449"/>
    <col min="2" max="2" width="16" style="441" customWidth="1"/>
    <col min="3" max="3" width="4.7109375" style="441" customWidth="1"/>
    <col min="4" max="4" width="14.42578125" style="441" customWidth="1"/>
    <col min="5" max="5" width="5" style="441" customWidth="1"/>
    <col min="6" max="6" width="14.7109375" style="441" customWidth="1"/>
    <col min="7" max="7" width="11.28515625" style="441" customWidth="1"/>
    <col min="8" max="8" width="11.42578125" style="441" bestFit="1" customWidth="1"/>
    <col min="9" max="9" width="15.85546875" style="441" customWidth="1"/>
    <col min="10" max="10" width="12" style="441" customWidth="1"/>
    <col min="11" max="16384" width="9.28515625" style="441"/>
  </cols>
  <sheetData>
    <row r="1" spans="1:15" ht="8.1" customHeight="1" x14ac:dyDescent="0.2">
      <c r="B1" s="440"/>
    </row>
    <row r="2" spans="1:15" s="444" customFormat="1" ht="8.1" customHeight="1" x14ac:dyDescent="0.55000000000000004">
      <c r="A2" s="450"/>
      <c r="B2" s="442"/>
      <c r="C2" s="443"/>
      <c r="D2" s="443"/>
      <c r="E2" s="443"/>
      <c r="F2" s="443"/>
      <c r="G2" s="443"/>
      <c r="H2" s="443"/>
      <c r="I2" s="443"/>
      <c r="J2" s="443"/>
      <c r="K2" s="443"/>
    </row>
    <row r="3" spans="1:15" ht="8.1" customHeight="1" x14ac:dyDescent="0.2">
      <c r="B3" s="440"/>
    </row>
    <row r="4" spans="1:15" ht="8.1" customHeight="1" x14ac:dyDescent="0.2">
      <c r="B4" s="440"/>
    </row>
    <row r="5" spans="1:15" ht="11.1" customHeight="1" x14ac:dyDescent="0.25">
      <c r="A5" s="451" t="str">
        <f>A7&amp;" "&amp;A8</f>
        <v>GP 14</v>
      </c>
      <c r="B5" s="440"/>
    </row>
    <row r="6" spans="1:15" s="422" customFormat="1" ht="11.1" customHeight="1" x14ac:dyDescent="0.2">
      <c r="A6" s="452" t="str">
        <f>A5&amp;" VT2"</f>
        <v>GP 14 VT2</v>
      </c>
      <c r="B6" s="421"/>
    </row>
    <row r="7" spans="1:15" ht="11.1" customHeight="1" x14ac:dyDescent="0.2">
      <c r="A7" s="453" t="s">
        <v>95</v>
      </c>
      <c r="B7" s="421"/>
      <c r="C7" s="422"/>
      <c r="D7" s="422"/>
      <c r="E7" s="422"/>
      <c r="F7" s="422"/>
      <c r="G7" s="422"/>
      <c r="H7" s="422"/>
      <c r="I7" s="422"/>
      <c r="J7" s="422"/>
    </row>
    <row r="8" spans="1:15" ht="12" customHeight="1" x14ac:dyDescent="0.2">
      <c r="A8" s="439">
        <v>14</v>
      </c>
      <c r="B8" s="421"/>
      <c r="C8" s="422"/>
      <c r="D8" s="422"/>
      <c r="E8" s="422"/>
      <c r="F8" s="422"/>
      <c r="G8" s="422"/>
      <c r="H8" s="422"/>
      <c r="I8" s="422"/>
      <c r="J8" s="422"/>
    </row>
    <row r="9" spans="1:15" ht="18.75" x14ac:dyDescent="0.3">
      <c r="A9" s="449" t="str">
        <f>VLOOKUP(A5,grandprix,4,0)</f>
        <v>Italië</v>
      </c>
      <c r="B9" s="421"/>
      <c r="C9" s="732" t="str">
        <f>"GP van "&amp;(VLOOKUP($A$5,grandprix,2,0)&amp;" - uitslag 2e vrije training")</f>
        <v>GP van Italië - uitslag 2e vrije training</v>
      </c>
      <c r="D9" s="732"/>
      <c r="E9" s="732"/>
      <c r="F9" s="732"/>
      <c r="G9" s="732"/>
      <c r="H9" s="732"/>
      <c r="I9" s="732"/>
      <c r="J9" s="445"/>
      <c r="K9" s="422"/>
      <c r="L9" s="422"/>
      <c r="M9" s="422"/>
      <c r="N9" s="422"/>
      <c r="O9" s="422"/>
    </row>
    <row r="10" spans="1:15" ht="12" customHeight="1" x14ac:dyDescent="0.2">
      <c r="B10" s="421"/>
      <c r="I10" s="422"/>
      <c r="J10" s="422"/>
    </row>
    <row r="11" spans="1:15" s="456" customFormat="1" ht="15" customHeight="1" x14ac:dyDescent="0.2">
      <c r="A11" s="454"/>
      <c r="B11" s="455"/>
      <c r="E11" s="419" t="s">
        <v>246</v>
      </c>
      <c r="F11" s="419" t="s">
        <v>283</v>
      </c>
      <c r="G11" s="419" t="s">
        <v>10</v>
      </c>
      <c r="H11" s="419" t="s">
        <v>11</v>
      </c>
      <c r="I11" s="457"/>
      <c r="J11" s="458"/>
    </row>
    <row r="12" spans="1:15" ht="15" customHeight="1" x14ac:dyDescent="0.2">
      <c r="B12" s="422"/>
      <c r="E12" s="289">
        <v>1</v>
      </c>
      <c r="F12" s="290" t="str">
        <f>VLOOKUP($A$6,VT_KW,2,0)</f>
        <v>C. Leclerc</v>
      </c>
      <c r="G12" s="290" t="str">
        <f t="shared" ref="G12:G30" si="0">VLOOKUP(F12,rijder,2,0)</f>
        <v>Ferrari</v>
      </c>
      <c r="H12" s="359">
        <f>VLOOKUP($A$6,VT_KW,3,0)</f>
        <v>9.3724537037037029E-4</v>
      </c>
      <c r="I12" s="447"/>
      <c r="J12" s="422"/>
    </row>
    <row r="13" spans="1:15" ht="15" customHeight="1" x14ac:dyDescent="0.2">
      <c r="B13" s="422"/>
      <c r="E13" s="289">
        <v>2</v>
      </c>
      <c r="F13" s="290" t="str">
        <f>VLOOKUP($A$6,VT_KW,4,0)</f>
        <v>L. Hamilton</v>
      </c>
      <c r="G13" s="290" t="str">
        <f t="shared" si="0"/>
        <v>Mercedes</v>
      </c>
      <c r="H13" s="359">
        <f>VLOOKUP($A$6,VT_KW,5,0)</f>
        <v>9.3803240740740739E-4</v>
      </c>
      <c r="I13" s="448">
        <f>IF(H13="…"," ",H13-$H$12)</f>
        <v>7.8703703703709733E-7</v>
      </c>
      <c r="J13" s="422"/>
    </row>
    <row r="14" spans="1:15" ht="15" customHeight="1" x14ac:dyDescent="0.2">
      <c r="B14" s="422"/>
      <c r="E14" s="289">
        <v>3</v>
      </c>
      <c r="F14" s="290" t="str">
        <f>VLOOKUP($A$6,VT_KW,6,0)</f>
        <v>S. Vettel</v>
      </c>
      <c r="G14" s="290" t="str">
        <f t="shared" si="0"/>
        <v>Ferrari</v>
      </c>
      <c r="H14" s="359">
        <f>VLOOKUP($A$6,VT_KW,7,0)</f>
        <v>9.3957175925925935E-4</v>
      </c>
      <c r="I14" s="448">
        <f t="shared" ref="I14:I31" si="1">IF(H14="…"," ",H14-$H$12)</f>
        <v>2.3263888888890591E-6</v>
      </c>
      <c r="J14" s="422"/>
    </row>
    <row r="15" spans="1:15" ht="15" customHeight="1" x14ac:dyDescent="0.2">
      <c r="B15" s="422"/>
      <c r="E15" s="289">
        <v>4</v>
      </c>
      <c r="F15" s="290" t="str">
        <f>VLOOKUP($A$6,VT_KW,8,0)</f>
        <v>V. Bottas</v>
      </c>
      <c r="G15" s="290" t="str">
        <f t="shared" si="0"/>
        <v>Mercedes</v>
      </c>
      <c r="H15" s="359">
        <f>VLOOKUP($A$6,VT_KW,9,0)</f>
        <v>9.4151620370370363E-4</v>
      </c>
      <c r="I15" s="448">
        <f t="shared" si="1"/>
        <v>4.27083333333334E-6</v>
      </c>
      <c r="J15" s="422"/>
    </row>
    <row r="16" spans="1:15" ht="15" customHeight="1" x14ac:dyDescent="0.2">
      <c r="B16" s="422"/>
      <c r="E16" s="289">
        <v>5</v>
      </c>
      <c r="F16" s="290" t="str">
        <f>VLOOKUP($A$6,VT_KW,10,0)</f>
        <v>M. Verstappen</v>
      </c>
      <c r="G16" s="290" t="str">
        <f t="shared" si="0"/>
        <v>Red Bull</v>
      </c>
      <c r="H16" s="359">
        <f>VLOOKUP($A$6,VT_KW,11,0)</f>
        <v>9.4155092592592598E-4</v>
      </c>
      <c r="I16" s="448">
        <f t="shared" si="1"/>
        <v>4.3055555555556813E-6</v>
      </c>
      <c r="J16" s="422"/>
    </row>
    <row r="17" spans="2:10" ht="15" customHeight="1" x14ac:dyDescent="0.2">
      <c r="B17" s="422"/>
      <c r="E17" s="289">
        <v>6</v>
      </c>
      <c r="F17" s="290" t="str">
        <f>VLOOKUP($A$6,VT_KW,12,0)</f>
        <v>A. Albon¹</v>
      </c>
      <c r="G17" s="290" t="str">
        <f t="shared" si="0"/>
        <v>Red Bull</v>
      </c>
      <c r="H17" s="359">
        <f>VLOOKUP($A$6,VT_KW,13,0)</f>
        <v>9.4431712962962959E-4</v>
      </c>
      <c r="I17" s="448">
        <f t="shared" si="1"/>
        <v>7.0717592592592924E-6</v>
      </c>
      <c r="J17" s="422"/>
    </row>
    <row r="18" spans="2:10" ht="15" customHeight="1" x14ac:dyDescent="0.2">
      <c r="B18" s="422"/>
      <c r="E18" s="289">
        <v>7</v>
      </c>
      <c r="F18" s="290" t="str">
        <f>VLOOKUP($A$6,VT_KW,14,0)</f>
        <v>P. Gasly¹</v>
      </c>
      <c r="G18" s="290" t="str">
        <f t="shared" si="0"/>
        <v>Toro Rosso</v>
      </c>
      <c r="H18" s="359">
        <f>VLOOKUP($A$6,VT_KW,15,0)</f>
        <v>9.5050925925925934E-4</v>
      </c>
      <c r="I18" s="448">
        <f t="shared" si="1"/>
        <v>1.3263888888889047E-5</v>
      </c>
      <c r="J18" s="422"/>
    </row>
    <row r="19" spans="2:10" ht="15" customHeight="1" x14ac:dyDescent="0.2">
      <c r="B19" s="422"/>
      <c r="E19" s="289">
        <v>8</v>
      </c>
      <c r="F19" s="290" t="str">
        <f>VLOOKUP($A$6,VT_KW,16,0)</f>
        <v>R. Grosjean</v>
      </c>
      <c r="G19" s="290" t="str">
        <f t="shared" si="0"/>
        <v>Haas</v>
      </c>
      <c r="H19" s="359">
        <f>VLOOKUP($A$6,VT_KW,17,0)</f>
        <v>9.508449074074073E-4</v>
      </c>
      <c r="I19" s="448">
        <f t="shared" si="1"/>
        <v>1.3599537037037009E-5</v>
      </c>
      <c r="J19" s="422"/>
    </row>
    <row r="20" spans="2:10" ht="15" customHeight="1" x14ac:dyDescent="0.2">
      <c r="B20" s="422"/>
      <c r="E20" s="289">
        <v>9</v>
      </c>
      <c r="F20" s="290" t="str">
        <f>VLOOKUP($A$6,VT_KW,18,0)</f>
        <v>D. Ricciardo</v>
      </c>
      <c r="G20" s="290" t="str">
        <f t="shared" si="0"/>
        <v>Renault</v>
      </c>
      <c r="H20" s="359">
        <f>VLOOKUP($A$6,VT_KW,19,0)</f>
        <v>9.5195601851851854E-4</v>
      </c>
      <c r="I20" s="448">
        <f t="shared" si="1"/>
        <v>1.4710648148148243E-5</v>
      </c>
      <c r="J20" s="422"/>
    </row>
    <row r="21" spans="2:10" ht="15" customHeight="1" x14ac:dyDescent="0.2">
      <c r="B21" s="422"/>
      <c r="E21" s="289">
        <v>10</v>
      </c>
      <c r="F21" s="290" t="str">
        <f>VLOOKUP($A$6,VT_KW,20,0)</f>
        <v>D. Kvyat</v>
      </c>
      <c r="G21" s="290" t="str">
        <f t="shared" si="0"/>
        <v>Toro Rosso</v>
      </c>
      <c r="H21" s="359">
        <f>VLOOKUP($A$6,VT_KW,21,0)</f>
        <v>9.5208333333333332E-4</v>
      </c>
      <c r="I21" s="448">
        <f t="shared" si="1"/>
        <v>1.4837962962963025E-5</v>
      </c>
      <c r="J21" s="422"/>
    </row>
    <row r="22" spans="2:10" ht="15" customHeight="1" x14ac:dyDescent="0.2">
      <c r="B22" s="422"/>
      <c r="E22" s="289">
        <v>11</v>
      </c>
      <c r="F22" s="290" t="str">
        <f>VLOOKUP($A$6,VT_KW,22,0)</f>
        <v>N. Hulkenberg</v>
      </c>
      <c r="G22" s="290" t="str">
        <f t="shared" si="0"/>
        <v>Renault</v>
      </c>
      <c r="H22" s="359">
        <f>VLOOKUP($A$6,VT_KW,23,0)</f>
        <v>9.5298611111111116E-4</v>
      </c>
      <c r="I22" s="448">
        <f t="shared" si="1"/>
        <v>1.5740740740740862E-5</v>
      </c>
      <c r="J22" s="422"/>
    </row>
    <row r="23" spans="2:10" ht="15" customHeight="1" x14ac:dyDescent="0.2">
      <c r="B23" s="422"/>
      <c r="E23" s="289">
        <v>12</v>
      </c>
      <c r="F23" s="290" t="str">
        <f>VLOOKUP($A$6,VT_KW,24,0)</f>
        <v>C. Sainz</v>
      </c>
      <c r="G23" s="290" t="str">
        <f t="shared" si="0"/>
        <v>McLaren</v>
      </c>
      <c r="H23" s="359">
        <f>VLOOKUP($A$6,VT_KW,25,0)</f>
        <v>9.5465277777777779E-4</v>
      </c>
      <c r="I23" s="448">
        <f t="shared" si="1"/>
        <v>1.7407407407407497E-5</v>
      </c>
      <c r="J23" s="422"/>
    </row>
    <row r="24" spans="2:10" ht="15" customHeight="1" x14ac:dyDescent="0.2">
      <c r="B24" s="422"/>
      <c r="E24" s="289">
        <v>13</v>
      </c>
      <c r="F24" s="290" t="str">
        <f>VLOOKUP($A$6,VT_KW,26,0)</f>
        <v>K. Magnussen</v>
      </c>
      <c r="G24" s="290" t="str">
        <f t="shared" si="0"/>
        <v>Haas</v>
      </c>
      <c r="H24" s="359">
        <f>VLOOKUP($A$6,VT_KW,27,0)</f>
        <v>9.5498842592592586E-4</v>
      </c>
      <c r="I24" s="448">
        <f t="shared" si="1"/>
        <v>1.7743055555555567E-5</v>
      </c>
      <c r="J24" s="422"/>
    </row>
    <row r="25" spans="2:10" ht="15" customHeight="1" x14ac:dyDescent="0.2">
      <c r="B25" s="422"/>
      <c r="E25" s="289">
        <v>14</v>
      </c>
      <c r="F25" s="290" t="str">
        <f>VLOOKUP($A$6,VT_KW,28,0)</f>
        <v>K. Raïkkönen</v>
      </c>
      <c r="G25" s="290" t="str">
        <f t="shared" si="0"/>
        <v>Alfa Romeo</v>
      </c>
      <c r="H25" s="359">
        <f>VLOOKUP($A$6,VT_KW,29,0)</f>
        <v>9.551273148148149E-4</v>
      </c>
      <c r="I25" s="448">
        <f t="shared" si="1"/>
        <v>1.7881944444444607E-5</v>
      </c>
      <c r="J25" s="422"/>
    </row>
    <row r="26" spans="2:10" ht="15" customHeight="1" x14ac:dyDescent="0.2">
      <c r="E26" s="289">
        <v>15</v>
      </c>
      <c r="F26" s="290" t="str">
        <f>VLOOKUP($A$6,VT_KW,30,0)</f>
        <v>L. Stroll</v>
      </c>
      <c r="G26" s="290" t="str">
        <f t="shared" si="0"/>
        <v>Racing Point</v>
      </c>
      <c r="H26" s="359">
        <f>VLOOKUP($A$6,VT_KW,31,0)</f>
        <v>9.5724537037037045E-4</v>
      </c>
      <c r="I26" s="448">
        <f t="shared" si="1"/>
        <v>2.0000000000000161E-5</v>
      </c>
    </row>
    <row r="27" spans="2:10" ht="15" customHeight="1" x14ac:dyDescent="0.2">
      <c r="E27" s="289">
        <v>16</v>
      </c>
      <c r="F27" s="290" t="str">
        <f>VLOOKUP($A$6,VT_KW,32,0)</f>
        <v>S. Pérez</v>
      </c>
      <c r="G27" s="290" t="str">
        <f t="shared" si="0"/>
        <v>Racing Point</v>
      </c>
      <c r="H27" s="359">
        <f>VLOOKUP($A$6,VT_KW,33,0)</f>
        <v>9.5928240740740739E-4</v>
      </c>
      <c r="I27" s="448">
        <f t="shared" si="1"/>
        <v>2.2037037037037099E-5</v>
      </c>
    </row>
    <row r="28" spans="2:10" ht="15" customHeight="1" x14ac:dyDescent="0.2">
      <c r="E28" s="289">
        <v>17</v>
      </c>
      <c r="F28" s="290" t="str">
        <f>VLOOKUP($A$6,VT_KW,34,0)</f>
        <v>A. Giovinazzi</v>
      </c>
      <c r="G28" s="290" t="str">
        <f t="shared" si="0"/>
        <v>Alfa Romeo</v>
      </c>
      <c r="H28" s="359">
        <f>VLOOKUP($A$6,VT_KW,35,0)</f>
        <v>9.6140046296296295E-4</v>
      </c>
      <c r="I28" s="448">
        <f t="shared" si="1"/>
        <v>2.4155092592592652E-5</v>
      </c>
    </row>
    <row r="29" spans="2:10" ht="15" customHeight="1" x14ac:dyDescent="0.2">
      <c r="E29" s="289">
        <v>18</v>
      </c>
      <c r="F29" s="290" t="str">
        <f>VLOOKUP($A$6,VT_KW,36,0)</f>
        <v>L. Norris</v>
      </c>
      <c r="G29" s="290" t="str">
        <f t="shared" si="0"/>
        <v>McLaren</v>
      </c>
      <c r="H29" s="359">
        <f>VLOOKUP($A$6,VT_KW,37,0)</f>
        <v>9.6714120370370367E-4</v>
      </c>
      <c r="I29" s="448">
        <f t="shared" si="1"/>
        <v>2.989583333333338E-5</v>
      </c>
    </row>
    <row r="30" spans="2:10" ht="15" customHeight="1" x14ac:dyDescent="0.2">
      <c r="E30" s="289">
        <v>19</v>
      </c>
      <c r="F30" s="290" t="str">
        <f>VLOOKUP($A$6,VT_KW,38,0)</f>
        <v>R. Kubica</v>
      </c>
      <c r="G30" s="290" t="str">
        <f t="shared" si="0"/>
        <v>Williams</v>
      </c>
      <c r="H30" s="359">
        <f>VLOOKUP($A$6,VT_KW,39,0)</f>
        <v>9.6917824074074083E-4</v>
      </c>
      <c r="I30" s="448">
        <f t="shared" si="1"/>
        <v>3.1932870370370535E-5</v>
      </c>
    </row>
    <row r="31" spans="2:10" ht="15" customHeight="1" x14ac:dyDescent="0.2">
      <c r="E31" s="289">
        <v>20</v>
      </c>
      <c r="F31" s="290" t="str">
        <f>VLOOKUP($A$6,VT_KW,40,0)</f>
        <v>G. Russell</v>
      </c>
      <c r="G31" s="290" t="str">
        <f>VLOOKUP(F31,rijder,2,0)</f>
        <v>Williams</v>
      </c>
      <c r="H31" s="359">
        <f>VLOOKUP($A$6,VT_KW,41,0)</f>
        <v>9.7584490740740737E-4</v>
      </c>
      <c r="I31" s="448">
        <f t="shared" si="1"/>
        <v>3.8599537037037075E-5</v>
      </c>
    </row>
    <row r="32" spans="2:10" ht="12" customHeight="1" x14ac:dyDescent="0.2">
      <c r="H32" s="422"/>
    </row>
    <row r="33" spans="3:9" ht="15" customHeight="1" x14ac:dyDescent="0.2">
      <c r="C33" s="733"/>
      <c r="D33" s="733"/>
      <c r="E33" s="733"/>
      <c r="F33" s="733"/>
      <c r="G33" s="733"/>
      <c r="H33" s="733"/>
      <c r="I33" s="733"/>
    </row>
    <row r="34" spans="3:9" x14ac:dyDescent="0.2">
      <c r="H34" s="422"/>
    </row>
  </sheetData>
  <sheetProtection sheet="1" formatColumns="0" formatRows="0" selectLockedCells="1" selectUnlockedCells="1"/>
  <mergeCells count="2">
    <mergeCell ref="C9:I9"/>
    <mergeCell ref="C33:I33"/>
  </mergeCells>
  <phoneticPr fontId="2" type="noConversion"/>
  <conditionalFormatting sqref="E12:E31">
    <cfRule type="expression" dxfId="106" priority="1" stopIfTrue="1">
      <formula>IF(#REF!,TRUE)</formula>
    </cfRule>
    <cfRule type="expression" dxfId="105" priority="2" stopIfTrue="1">
      <formula>IF(#REF!,TRUE)</formula>
    </cfRule>
  </conditionalFormatting>
  <conditionalFormatting sqref="H12:H31">
    <cfRule type="cellIs" dxfId="104" priority="3" stopIfTrue="1" operator="equal">
      <formula>"geen tijd"</formula>
    </cfRule>
  </conditionalFormatting>
  <dataValidations count="1">
    <dataValidation type="whole" allowBlank="1" showInputMessage="1" showErrorMessage="1" sqref="A8" xr:uid="{00000000-0002-0000-0400-000000000000}">
      <formula1>1</formula1>
      <formula2>21</formula2>
    </dataValidation>
  </dataValidations>
  <pageMargins left="0.75" right="0.75" top="1" bottom="1" header="0.5" footer="0.5"/>
  <pageSetup paperSize="9" orientation="portrait" horizontalDpi="4294967293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15"/>
  <dimension ref="A1:O34"/>
  <sheetViews>
    <sheetView showGridLines="0" showRowColHeaders="0" zoomScaleNormal="100" workbookViewId="0">
      <selection activeCell="A8" sqref="A8"/>
    </sheetView>
  </sheetViews>
  <sheetFormatPr defaultColWidth="9.28515625" defaultRowHeight="12.75" x14ac:dyDescent="0.2"/>
  <cols>
    <col min="1" max="1" width="9.28515625" style="460"/>
    <col min="2" max="2" width="16" style="441" customWidth="1"/>
    <col min="3" max="3" width="4.7109375" style="441" customWidth="1"/>
    <col min="4" max="4" width="14.42578125" style="441" customWidth="1"/>
    <col min="5" max="5" width="5" style="441" customWidth="1"/>
    <col min="6" max="6" width="14.7109375" style="441" customWidth="1"/>
    <col min="7" max="7" width="11.28515625" style="441" customWidth="1"/>
    <col min="8" max="8" width="11.42578125" style="441" bestFit="1" customWidth="1"/>
    <col min="9" max="9" width="15.85546875" style="441" customWidth="1"/>
    <col min="10" max="10" width="12" style="441" customWidth="1"/>
    <col min="11" max="16384" width="9.28515625" style="441"/>
  </cols>
  <sheetData>
    <row r="1" spans="1:15" ht="8.1" customHeight="1" x14ac:dyDescent="0.2">
      <c r="B1" s="440"/>
    </row>
    <row r="2" spans="1:15" s="444" customFormat="1" ht="8.1" customHeight="1" x14ac:dyDescent="0.55000000000000004">
      <c r="A2" s="461"/>
      <c r="B2" s="442"/>
      <c r="C2" s="443"/>
      <c r="D2" s="443"/>
      <c r="E2" s="443"/>
      <c r="F2" s="443"/>
      <c r="G2" s="443"/>
      <c r="H2" s="443"/>
      <c r="I2" s="443"/>
      <c r="J2" s="443"/>
      <c r="K2" s="443"/>
    </row>
    <row r="3" spans="1:15" ht="8.1" customHeight="1" x14ac:dyDescent="0.2">
      <c r="B3" s="440"/>
    </row>
    <row r="4" spans="1:15" ht="8.1" customHeight="1" x14ac:dyDescent="0.2">
      <c r="B4" s="440"/>
    </row>
    <row r="5" spans="1:15" ht="11.1" customHeight="1" x14ac:dyDescent="0.25">
      <c r="A5" s="462" t="str">
        <f>A7&amp;" "&amp;A8</f>
        <v>GP 14</v>
      </c>
      <c r="B5" s="440"/>
    </row>
    <row r="6" spans="1:15" s="422" customFormat="1" ht="11.1" customHeight="1" x14ac:dyDescent="0.2">
      <c r="A6" s="463" t="str">
        <f>A5&amp;" VT3"</f>
        <v>GP 14 VT3</v>
      </c>
      <c r="B6" s="421"/>
    </row>
    <row r="7" spans="1:15" ht="11.1" customHeight="1" x14ac:dyDescent="0.2">
      <c r="A7" s="463" t="s">
        <v>95</v>
      </c>
      <c r="B7" s="421"/>
      <c r="C7" s="422"/>
      <c r="D7" s="422"/>
      <c r="E7" s="422"/>
      <c r="F7" s="422"/>
      <c r="G7" s="422"/>
      <c r="H7" s="422"/>
      <c r="I7" s="422"/>
      <c r="J7" s="422"/>
    </row>
    <row r="8" spans="1:15" ht="12" customHeight="1" x14ac:dyDescent="0.2">
      <c r="A8" s="439">
        <v>14</v>
      </c>
      <c r="B8" s="421"/>
      <c r="C8" s="422"/>
      <c r="D8" s="422"/>
      <c r="E8" s="422"/>
      <c r="F8" s="422"/>
      <c r="G8" s="422"/>
      <c r="H8" s="422"/>
      <c r="I8" s="422"/>
      <c r="J8" s="422"/>
    </row>
    <row r="9" spans="1:15" ht="18.75" x14ac:dyDescent="0.3">
      <c r="A9" s="460" t="str">
        <f>VLOOKUP(A5,grandprix,4,0)</f>
        <v>Italië</v>
      </c>
      <c r="B9" s="421"/>
      <c r="C9" s="732" t="str">
        <f>"GP van "&amp;(VLOOKUP($A$5,grandprix,2,0)&amp;" - uitslag 3e vrije training")</f>
        <v>GP van Italië - uitslag 3e vrije training</v>
      </c>
      <c r="D9" s="732"/>
      <c r="E9" s="732"/>
      <c r="F9" s="732"/>
      <c r="G9" s="732"/>
      <c r="H9" s="732"/>
      <c r="I9" s="732"/>
      <c r="J9" s="445"/>
      <c r="K9" s="422"/>
      <c r="L9" s="422"/>
      <c r="M9" s="422"/>
      <c r="N9" s="422"/>
      <c r="O9" s="422"/>
    </row>
    <row r="10" spans="1:15" ht="12" customHeight="1" x14ac:dyDescent="0.2">
      <c r="B10" s="421"/>
      <c r="I10" s="422"/>
      <c r="J10" s="422"/>
    </row>
    <row r="11" spans="1:15" ht="15" customHeight="1" x14ac:dyDescent="0.2">
      <c r="B11" s="421"/>
      <c r="E11" s="419" t="s">
        <v>246</v>
      </c>
      <c r="F11" s="419" t="s">
        <v>283</v>
      </c>
      <c r="G11" s="419" t="s">
        <v>10</v>
      </c>
      <c r="H11" s="419" t="s">
        <v>11</v>
      </c>
      <c r="I11" s="446"/>
      <c r="J11" s="422"/>
    </row>
    <row r="12" spans="1:15" ht="15" customHeight="1" x14ac:dyDescent="0.2">
      <c r="B12" s="421"/>
      <c r="E12" s="289">
        <v>1</v>
      </c>
      <c r="F12" s="290" t="str">
        <f>VLOOKUP($A$6,VT_KW,2,0)</f>
        <v>S. Vettel</v>
      </c>
      <c r="G12" s="290" t="str">
        <f t="shared" ref="G12:G30" si="0">VLOOKUP(F12,rijder,2,0)</f>
        <v>Ferrari</v>
      </c>
      <c r="H12" s="359">
        <f>VLOOKUP($A$6,VT_KW,3,0)</f>
        <v>9.2932870370370381E-4</v>
      </c>
      <c r="I12" s="447"/>
      <c r="J12" s="422"/>
    </row>
    <row r="13" spans="1:15" ht="15" customHeight="1" x14ac:dyDescent="0.2">
      <c r="B13" s="422"/>
      <c r="E13" s="289">
        <v>2</v>
      </c>
      <c r="F13" s="290" t="str">
        <f>VLOOKUP($A$6,VT_KW,4,0)</f>
        <v>M. Verstappen</v>
      </c>
      <c r="G13" s="290" t="str">
        <f t="shared" si="0"/>
        <v>Red Bull</v>
      </c>
      <c r="H13" s="359">
        <f>VLOOKUP($A$6,VT_KW,5,0)</f>
        <v>9.2969907407407411E-4</v>
      </c>
      <c r="I13" s="448">
        <f>IF(H13="…"," ",H13-$H$12)</f>
        <v>3.7037037037030308E-7</v>
      </c>
      <c r="J13" s="422"/>
    </row>
    <row r="14" spans="1:15" ht="15" customHeight="1" x14ac:dyDescent="0.2">
      <c r="B14" s="422"/>
      <c r="E14" s="289">
        <v>3</v>
      </c>
      <c r="F14" s="290" t="str">
        <f>VLOOKUP($A$6,VT_KW,6,0)</f>
        <v>V. Bottas</v>
      </c>
      <c r="G14" s="290" t="str">
        <f t="shared" si="0"/>
        <v>Mercedes</v>
      </c>
      <c r="H14" s="359">
        <f>VLOOKUP($A$6,VT_KW,7,0)</f>
        <v>9.3059027777777769E-4</v>
      </c>
      <c r="I14" s="448">
        <f t="shared" ref="I14:I31" si="1">IF(H14="…"," ",H14-$H$12)</f>
        <v>1.2615740740738821E-6</v>
      </c>
      <c r="J14" s="422"/>
    </row>
    <row r="15" spans="1:15" ht="15" customHeight="1" x14ac:dyDescent="0.2">
      <c r="B15" s="422"/>
      <c r="E15" s="289">
        <v>4</v>
      </c>
      <c r="F15" s="290" t="str">
        <f>VLOOKUP($A$6,VT_KW,8,0)</f>
        <v>C. Leclerc</v>
      </c>
      <c r="G15" s="290" t="str">
        <f t="shared" si="0"/>
        <v>Ferrari</v>
      </c>
      <c r="H15" s="359">
        <f>VLOOKUP($A$6,VT_KW,9,0)</f>
        <v>9.3059027777777769E-4</v>
      </c>
      <c r="I15" s="448">
        <f t="shared" si="1"/>
        <v>1.2615740740738821E-6</v>
      </c>
      <c r="J15" s="422"/>
    </row>
    <row r="16" spans="1:15" ht="15" customHeight="1" x14ac:dyDescent="0.2">
      <c r="B16" s="422"/>
      <c r="E16" s="289">
        <v>5</v>
      </c>
      <c r="F16" s="290" t="str">
        <f>VLOOKUP($A$6,VT_KW,10,0)</f>
        <v>D. Ricciardo</v>
      </c>
      <c r="G16" s="290" t="str">
        <f t="shared" si="0"/>
        <v>Renault</v>
      </c>
      <c r="H16" s="359">
        <f>VLOOKUP($A$6,VT_KW,11,0)</f>
        <v>9.3245370370370368E-4</v>
      </c>
      <c r="I16" s="448">
        <f t="shared" si="1"/>
        <v>3.1249999999998727E-6</v>
      </c>
      <c r="J16" s="422"/>
    </row>
    <row r="17" spans="2:10" ht="15" customHeight="1" x14ac:dyDescent="0.2">
      <c r="B17" s="422"/>
      <c r="E17" s="289">
        <v>6</v>
      </c>
      <c r="F17" s="290" t="str">
        <f>VLOOKUP($A$6,VT_KW,12,0)</f>
        <v>L. Hamilton</v>
      </c>
      <c r="G17" s="290" t="str">
        <f t="shared" si="0"/>
        <v>Mercedes</v>
      </c>
      <c r="H17" s="359">
        <f>VLOOKUP($A$6,VT_KW,13,0)</f>
        <v>9.3281250000000005E-4</v>
      </c>
      <c r="I17" s="448">
        <f t="shared" si="1"/>
        <v>3.4837962962962427E-6</v>
      </c>
      <c r="J17" s="422"/>
    </row>
    <row r="18" spans="2:10" ht="15" customHeight="1" x14ac:dyDescent="0.2">
      <c r="B18" s="422"/>
      <c r="E18" s="289">
        <v>7</v>
      </c>
      <c r="F18" s="290" t="str">
        <f>VLOOKUP($A$6,VT_KW,14,0)</f>
        <v>N. Hulkenberg</v>
      </c>
      <c r="G18" s="290" t="str">
        <f t="shared" si="0"/>
        <v>Renault</v>
      </c>
      <c r="H18" s="359">
        <f>VLOOKUP($A$6,VT_KW,15,0)</f>
        <v>9.3462962962962976E-4</v>
      </c>
      <c r="I18" s="448">
        <f t="shared" si="1"/>
        <v>5.3009259259259589E-6</v>
      </c>
      <c r="J18" s="422"/>
    </row>
    <row r="19" spans="2:10" ht="15" customHeight="1" x14ac:dyDescent="0.2">
      <c r="B19" s="422"/>
      <c r="E19" s="289">
        <v>8</v>
      </c>
      <c r="F19" s="290" t="str">
        <f>VLOOKUP($A$6,VT_KW,16,0)</f>
        <v>A. Albon¹</v>
      </c>
      <c r="G19" s="290" t="str">
        <f t="shared" si="0"/>
        <v>Red Bull</v>
      </c>
      <c r="H19" s="359">
        <f>VLOOKUP($A$6,VT_KW,17,0)</f>
        <v>9.3549768518518504E-4</v>
      </c>
      <c r="I19" s="448">
        <f t="shared" si="1"/>
        <v>6.1689814814812382E-6</v>
      </c>
      <c r="J19" s="422"/>
    </row>
    <row r="20" spans="2:10" ht="15" customHeight="1" x14ac:dyDescent="0.2">
      <c r="B20" s="422"/>
      <c r="E20" s="289">
        <v>9</v>
      </c>
      <c r="F20" s="290" t="str">
        <f>VLOOKUP($A$6,VT_KW,18,0)</f>
        <v>A. Giovinazzi</v>
      </c>
      <c r="G20" s="290" t="str">
        <f t="shared" si="0"/>
        <v>Alfa Romeo</v>
      </c>
      <c r="H20" s="359">
        <f>VLOOKUP($A$6,VT_KW,19,0)</f>
        <v>9.3612268518518523E-4</v>
      </c>
      <c r="I20" s="448">
        <f t="shared" si="1"/>
        <v>6.7939814814814295E-6</v>
      </c>
      <c r="J20" s="422"/>
    </row>
    <row r="21" spans="2:10" ht="15" customHeight="1" x14ac:dyDescent="0.2">
      <c r="B21" s="422"/>
      <c r="E21" s="289">
        <v>10</v>
      </c>
      <c r="F21" s="290" t="str">
        <f>VLOOKUP($A$6,VT_KW,20,0)</f>
        <v>D. Kvyat</v>
      </c>
      <c r="G21" s="290" t="str">
        <f t="shared" si="0"/>
        <v>Toro Rosso</v>
      </c>
      <c r="H21" s="359">
        <f>VLOOKUP($A$6,VT_KW,21,0)</f>
        <v>9.3686342592592595E-4</v>
      </c>
      <c r="I21" s="448">
        <f t="shared" si="1"/>
        <v>7.5347222222221441E-6</v>
      </c>
      <c r="J21" s="422"/>
    </row>
    <row r="22" spans="2:10" ht="15" customHeight="1" x14ac:dyDescent="0.2">
      <c r="B22" s="422"/>
      <c r="E22" s="289">
        <v>11</v>
      </c>
      <c r="F22" s="290" t="str">
        <f>VLOOKUP($A$6,VT_KW,22,0)</f>
        <v>C. Sainz</v>
      </c>
      <c r="G22" s="290" t="str">
        <f t="shared" si="0"/>
        <v>McLaren</v>
      </c>
      <c r="H22" s="359">
        <f>VLOOKUP($A$6,VT_KW,23,0)</f>
        <v>9.3690972222222222E-4</v>
      </c>
      <c r="I22" s="448">
        <f t="shared" si="1"/>
        <v>7.5810185185184184E-6</v>
      </c>
      <c r="J22" s="422"/>
    </row>
    <row r="23" spans="2:10" ht="15" customHeight="1" x14ac:dyDescent="0.2">
      <c r="B23" s="422"/>
      <c r="E23" s="289">
        <v>12</v>
      </c>
      <c r="F23" s="290" t="str">
        <f>VLOOKUP($A$6,VT_KW,24,0)</f>
        <v>S. Pérez</v>
      </c>
      <c r="G23" s="290" t="str">
        <f t="shared" si="0"/>
        <v>Racing Point</v>
      </c>
      <c r="H23" s="359">
        <f>VLOOKUP($A$6,VT_KW,25,0)</f>
        <v>9.3753472222222231E-4</v>
      </c>
      <c r="I23" s="448">
        <f t="shared" si="1"/>
        <v>8.2060185185185014E-6</v>
      </c>
      <c r="J23" s="422"/>
    </row>
    <row r="24" spans="2:10" ht="15" customHeight="1" x14ac:dyDescent="0.2">
      <c r="B24" s="422"/>
      <c r="E24" s="289">
        <v>13</v>
      </c>
      <c r="F24" s="290" t="str">
        <f>VLOOKUP($A$6,VT_KW,26,0)</f>
        <v>P. Gasly¹</v>
      </c>
      <c r="G24" s="290" t="str">
        <f t="shared" si="0"/>
        <v>Toro Rosso</v>
      </c>
      <c r="H24" s="359">
        <f>VLOOKUP($A$6,VT_KW,27,0)</f>
        <v>9.3834490740740738E-4</v>
      </c>
      <c r="I24" s="448">
        <f t="shared" si="1"/>
        <v>9.0162037037035733E-6</v>
      </c>
      <c r="J24" s="422"/>
    </row>
    <row r="25" spans="2:10" ht="15" customHeight="1" x14ac:dyDescent="0.2">
      <c r="B25" s="422"/>
      <c r="E25" s="289">
        <v>14</v>
      </c>
      <c r="F25" s="290" t="str">
        <f>VLOOKUP($A$6,VT_KW,28,0)</f>
        <v>L. Norris</v>
      </c>
      <c r="G25" s="290" t="str">
        <f t="shared" si="0"/>
        <v>McLaren</v>
      </c>
      <c r="H25" s="359">
        <f>VLOOKUP($A$6,VT_KW,29,0)</f>
        <v>9.4087962962962962E-4</v>
      </c>
      <c r="I25" s="448">
        <f t="shared" si="1"/>
        <v>1.1550925925925813E-5</v>
      </c>
      <c r="J25" s="422"/>
    </row>
    <row r="26" spans="2:10" ht="15" customHeight="1" x14ac:dyDescent="0.2">
      <c r="E26" s="289">
        <v>15</v>
      </c>
      <c r="F26" s="290" t="str">
        <f>VLOOKUP($A$6,VT_KW,30,0)</f>
        <v>K. Raïkkönen</v>
      </c>
      <c r="G26" s="290" t="str">
        <f t="shared" si="0"/>
        <v>Alfa Romeo</v>
      </c>
      <c r="H26" s="359">
        <f>VLOOKUP($A$6,VT_KW,31,0)</f>
        <v>9.4126157407407407E-4</v>
      </c>
      <c r="I26" s="448">
        <f t="shared" si="1"/>
        <v>1.1932870370370266E-5</v>
      </c>
    </row>
    <row r="27" spans="2:10" ht="15" customHeight="1" x14ac:dyDescent="0.2">
      <c r="E27" s="289">
        <v>16</v>
      </c>
      <c r="F27" s="290" t="str">
        <f>VLOOKUP($A$6,VT_KW,32,0)</f>
        <v>K. Magnussen</v>
      </c>
      <c r="G27" s="290" t="str">
        <f t="shared" si="0"/>
        <v>Haas</v>
      </c>
      <c r="H27" s="359">
        <f>VLOOKUP($A$6,VT_KW,33,0)</f>
        <v>9.4138888888888885E-4</v>
      </c>
      <c r="I27" s="448">
        <f t="shared" si="1"/>
        <v>1.2060185185185047E-5</v>
      </c>
    </row>
    <row r="28" spans="2:10" ht="15" customHeight="1" x14ac:dyDescent="0.2">
      <c r="E28" s="289">
        <v>17</v>
      </c>
      <c r="F28" s="290" t="str">
        <f>VLOOKUP($A$6,VT_KW,34,0)</f>
        <v>R. Grosjean</v>
      </c>
      <c r="G28" s="290" t="str">
        <f t="shared" si="0"/>
        <v>Haas</v>
      </c>
      <c r="H28" s="359">
        <f>VLOOKUP($A$6,VT_KW,35,0)</f>
        <v>9.4468749999999989E-4</v>
      </c>
      <c r="I28" s="448">
        <f t="shared" si="1"/>
        <v>1.5358796296296084E-5</v>
      </c>
    </row>
    <row r="29" spans="2:10" ht="15" customHeight="1" x14ac:dyDescent="0.2">
      <c r="E29" s="289">
        <v>18</v>
      </c>
      <c r="F29" s="290" t="str">
        <f>VLOOKUP($A$6,VT_KW,36,0)</f>
        <v>L. Stroll</v>
      </c>
      <c r="G29" s="290" t="str">
        <f t="shared" si="0"/>
        <v>Racing Point</v>
      </c>
      <c r="H29" s="359">
        <f>VLOOKUP($A$6,VT_KW,37,0)</f>
        <v>9.4489583333333329E-4</v>
      </c>
      <c r="I29" s="448">
        <f t="shared" si="1"/>
        <v>1.5567129629629481E-5</v>
      </c>
    </row>
    <row r="30" spans="2:10" ht="15" customHeight="1" x14ac:dyDescent="0.2">
      <c r="E30" s="289">
        <v>19</v>
      </c>
      <c r="F30" s="290" t="str">
        <f>VLOOKUP($A$6,VT_KW,38,0)</f>
        <v>G. Russell</v>
      </c>
      <c r="G30" s="290" t="str">
        <f t="shared" si="0"/>
        <v>Williams</v>
      </c>
      <c r="H30" s="359">
        <f>VLOOKUP($A$6,VT_KW,39,0)</f>
        <v>9.5340277777777784E-4</v>
      </c>
      <c r="I30" s="448">
        <f t="shared" si="1"/>
        <v>2.4074074074074037E-5</v>
      </c>
    </row>
    <row r="31" spans="2:10" ht="15" customHeight="1" x14ac:dyDescent="0.2">
      <c r="E31" s="289">
        <v>20</v>
      </c>
      <c r="F31" s="290" t="str">
        <f>VLOOKUP($A$6,VT_KW,40,0)</f>
        <v>R. Kubica</v>
      </c>
      <c r="G31" s="290" t="str">
        <f>VLOOKUP(F31,rijder,2,0)</f>
        <v>Williams</v>
      </c>
      <c r="H31" s="359">
        <f>VLOOKUP($A$6,VT_KW,41,0)</f>
        <v>9.5784722222222224E-4</v>
      </c>
      <c r="I31" s="448">
        <f t="shared" si="1"/>
        <v>2.8518518518518433E-5</v>
      </c>
    </row>
    <row r="32" spans="2:10" ht="12" customHeight="1" x14ac:dyDescent="0.2">
      <c r="H32" s="422"/>
    </row>
    <row r="33" spans="3:8" ht="15" customHeight="1" x14ac:dyDescent="0.2">
      <c r="C33" s="459"/>
      <c r="D33" s="734"/>
      <c r="E33" s="734"/>
      <c r="F33" s="422"/>
      <c r="G33" s="734"/>
      <c r="H33" s="734"/>
    </row>
    <row r="34" spans="3:8" x14ac:dyDescent="0.2">
      <c r="H34" s="422"/>
    </row>
  </sheetData>
  <sheetProtection sheet="1" formatColumns="0" formatRows="0" selectLockedCells="1" selectUnlockedCells="1"/>
  <mergeCells count="3">
    <mergeCell ref="D33:E33"/>
    <mergeCell ref="G33:H33"/>
    <mergeCell ref="C9:I9"/>
  </mergeCells>
  <phoneticPr fontId="2" type="noConversion"/>
  <conditionalFormatting sqref="E12:E31">
    <cfRule type="expression" dxfId="103" priority="1" stopIfTrue="1">
      <formula>IF(#REF!,TRUE)</formula>
    </cfRule>
    <cfRule type="expression" dxfId="102" priority="2" stopIfTrue="1">
      <formula>IF(#REF!,TRUE)</formula>
    </cfRule>
  </conditionalFormatting>
  <conditionalFormatting sqref="H12:H31">
    <cfRule type="cellIs" dxfId="101" priority="3" stopIfTrue="1" operator="equal">
      <formula>"geen tijd"</formula>
    </cfRule>
  </conditionalFormatting>
  <dataValidations count="1">
    <dataValidation type="whole" allowBlank="1" showInputMessage="1" showErrorMessage="1" sqref="A8" xr:uid="{00000000-0002-0000-0500-000000000000}">
      <formula1>1</formula1>
      <formula2>21</formula2>
    </dataValidation>
  </dataValidations>
  <pageMargins left="0.75" right="0.75" top="1" bottom="1" header="0.5" footer="0.5"/>
  <pageSetup paperSize="9" orientation="portrait" horizontalDpi="4294967293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16"/>
  <dimension ref="A1:P38"/>
  <sheetViews>
    <sheetView showGridLines="0" showRowColHeaders="0" zoomScaleNormal="100" workbookViewId="0">
      <selection activeCell="A8" sqref="A8"/>
    </sheetView>
  </sheetViews>
  <sheetFormatPr defaultColWidth="9.28515625" defaultRowHeight="12.75" x14ac:dyDescent="0.2"/>
  <cols>
    <col min="1" max="1" width="9.28515625" style="372"/>
    <col min="2" max="2" width="16" style="361" customWidth="1"/>
    <col min="3" max="3" width="4.7109375" style="361" customWidth="1"/>
    <col min="4" max="4" width="14.42578125" style="361" customWidth="1"/>
    <col min="5" max="5" width="5" style="361" customWidth="1"/>
    <col min="6" max="6" width="14.7109375" style="361" customWidth="1"/>
    <col min="7" max="7" width="11.28515625" style="361" customWidth="1"/>
    <col min="8" max="8" width="11.42578125" style="361" bestFit="1" customWidth="1"/>
    <col min="9" max="9" width="15.85546875" style="361" customWidth="1"/>
    <col min="10" max="10" width="3.7109375" style="361" customWidth="1"/>
    <col min="11" max="12" width="2.7109375" style="361" customWidth="1"/>
    <col min="13" max="13" width="7" style="361" customWidth="1"/>
    <col min="14" max="14" width="9.28515625" style="361"/>
    <col min="15" max="16" width="9.28515625" style="361" hidden="1" customWidth="1"/>
    <col min="17" max="17" width="9.28515625" style="361" customWidth="1"/>
    <col min="18" max="16384" width="9.28515625" style="361"/>
  </cols>
  <sheetData>
    <row r="1" spans="1:16" ht="8.1" customHeight="1" x14ac:dyDescent="0.2">
      <c r="B1" s="360"/>
    </row>
    <row r="2" spans="1:16" s="471" customFormat="1" ht="8.1" customHeight="1" x14ac:dyDescent="0.55000000000000004">
      <c r="A2" s="373"/>
      <c r="B2" s="362"/>
      <c r="C2" s="469"/>
      <c r="D2" s="469"/>
      <c r="E2" s="469"/>
      <c r="F2" s="469"/>
      <c r="G2" s="469"/>
      <c r="H2" s="469"/>
      <c r="I2" s="469"/>
      <c r="J2" s="469"/>
      <c r="K2" s="469"/>
      <c r="O2" s="364"/>
      <c r="P2" s="364"/>
    </row>
    <row r="3" spans="1:16" ht="8.1" customHeight="1" x14ac:dyDescent="0.2">
      <c r="B3" s="360"/>
    </row>
    <row r="4" spans="1:16" ht="8.1" customHeight="1" x14ac:dyDescent="0.2">
      <c r="B4" s="360"/>
    </row>
    <row r="5" spans="1:16" ht="11.1" customHeight="1" x14ac:dyDescent="0.25">
      <c r="A5" s="374" t="str">
        <f>A7&amp;" "&amp;A8</f>
        <v>GP 14</v>
      </c>
      <c r="B5" s="360"/>
    </row>
    <row r="6" spans="1:16" s="366" customFormat="1" ht="11.1" customHeight="1" x14ac:dyDescent="0.2">
      <c r="A6" s="375" t="str">
        <f>A7&amp;" "&amp;A8&amp;" KW"</f>
        <v>GP 14 KW</v>
      </c>
      <c r="B6" s="365"/>
    </row>
    <row r="7" spans="1:16" ht="11.1" customHeight="1" x14ac:dyDescent="0.2">
      <c r="A7" s="375" t="s">
        <v>95</v>
      </c>
      <c r="B7" s="365"/>
      <c r="C7" s="366"/>
      <c r="D7" s="366"/>
      <c r="E7" s="366"/>
      <c r="F7" s="366"/>
      <c r="G7" s="366"/>
      <c r="H7" s="366"/>
      <c r="I7" s="366"/>
      <c r="J7" s="366"/>
    </row>
    <row r="8" spans="1:16" ht="12" customHeight="1" x14ac:dyDescent="0.2">
      <c r="A8" s="439">
        <v>14</v>
      </c>
      <c r="B8" s="365"/>
      <c r="C8" s="366"/>
      <c r="D8" s="366"/>
      <c r="E8" s="366"/>
      <c r="F8" s="366"/>
      <c r="G8" s="366"/>
      <c r="H8" s="366"/>
      <c r="I8" s="366"/>
      <c r="J8" s="366"/>
    </row>
    <row r="9" spans="1:16" ht="18.75" x14ac:dyDescent="0.3">
      <c r="A9" s="372" t="str">
        <f>VLOOKUP(A5,grandprix,4,0)</f>
        <v>Italië</v>
      </c>
      <c r="B9" s="365"/>
      <c r="C9" s="732" t="str">
        <f>"GP van "&amp;(VLOOKUP($A$5,grandprix,2,0)&amp;" - uitslag kwalificatie")</f>
        <v>GP van Italië - uitslag kwalificatie</v>
      </c>
      <c r="D9" s="732"/>
      <c r="E9" s="732"/>
      <c r="F9" s="732"/>
      <c r="G9" s="732"/>
      <c r="H9" s="732"/>
      <c r="I9" s="732"/>
      <c r="J9" s="501"/>
      <c r="K9" s="502"/>
      <c r="L9" s="475"/>
      <c r="M9" s="475"/>
      <c r="N9" s="475"/>
      <c r="O9" s="366"/>
    </row>
    <row r="10" spans="1:16" ht="12" customHeight="1" x14ac:dyDescent="0.2">
      <c r="B10" s="365"/>
      <c r="I10" s="366"/>
      <c r="J10" s="366"/>
    </row>
    <row r="11" spans="1:16" ht="15" customHeight="1" x14ac:dyDescent="0.2">
      <c r="B11" s="365"/>
      <c r="E11" s="419" t="s">
        <v>246</v>
      </c>
      <c r="F11" s="419" t="s">
        <v>283</v>
      </c>
      <c r="G11" s="419" t="s">
        <v>10</v>
      </c>
      <c r="H11" s="419" t="s">
        <v>11</v>
      </c>
      <c r="I11" s="478"/>
      <c r="J11" s="366"/>
    </row>
    <row r="12" spans="1:16" ht="15" customHeight="1" x14ac:dyDescent="0.2">
      <c r="B12" s="365"/>
      <c r="C12" s="366"/>
      <c r="E12" s="289">
        <v>1</v>
      </c>
      <c r="F12" s="290" t="str">
        <f>VLOOKUP($A$6,VT_KW,2,0)</f>
        <v>C. Leclerc</v>
      </c>
      <c r="G12" s="290" t="str">
        <f t="shared" ref="G12:G30" si="0">VLOOKUP(F12,rijder,2,0)</f>
        <v>Ferrari</v>
      </c>
      <c r="H12" s="498">
        <f>VLOOKUP($A$6,VT_KW,3,0)</f>
        <v>9.1790509259259256E-4</v>
      </c>
      <c r="I12" s="503"/>
      <c r="J12" s="291" t="s">
        <v>312</v>
      </c>
      <c r="K12" s="508" t="s">
        <v>294</v>
      </c>
      <c r="L12" s="509" t="s">
        <v>293</v>
      </c>
    </row>
    <row r="13" spans="1:16" ht="15" customHeight="1" x14ac:dyDescent="0.2">
      <c r="B13" s="365"/>
      <c r="C13" s="366"/>
      <c r="E13" s="289">
        <v>2</v>
      </c>
      <c r="F13" s="290" t="str">
        <f>VLOOKUP($A$6,VT_KW,4,0)</f>
        <v>L. Hamilton</v>
      </c>
      <c r="G13" s="290" t="str">
        <f t="shared" si="0"/>
        <v>Mercedes</v>
      </c>
      <c r="H13" s="498">
        <f>VLOOKUP($A$6,VT_KW,5,0)</f>
        <v>9.1835648148148148E-4</v>
      </c>
      <c r="I13" s="504"/>
      <c r="J13" s="292" t="s">
        <v>312</v>
      </c>
      <c r="K13" s="508" t="s">
        <v>294</v>
      </c>
      <c r="L13" s="509" t="s">
        <v>292</v>
      </c>
    </row>
    <row r="14" spans="1:16" ht="15" customHeight="1" x14ac:dyDescent="0.2">
      <c r="B14" s="366"/>
      <c r="C14" s="366"/>
      <c r="E14" s="289">
        <v>3</v>
      </c>
      <c r="F14" s="290" t="str">
        <f>VLOOKUP($A$6,VT_KW,6,0)</f>
        <v>V. Bottas</v>
      </c>
      <c r="G14" s="290" t="str">
        <f t="shared" si="0"/>
        <v>Mercedes</v>
      </c>
      <c r="H14" s="498">
        <f>VLOOKUP($A$6,VT_KW,7,0)</f>
        <v>9.1844907407407413E-4</v>
      </c>
      <c r="I14" s="504"/>
      <c r="J14" s="511" t="s">
        <v>312</v>
      </c>
      <c r="K14" s="508" t="s">
        <v>294</v>
      </c>
      <c r="L14" s="509" t="s">
        <v>291</v>
      </c>
    </row>
    <row r="15" spans="1:16" ht="15" customHeight="1" x14ac:dyDescent="0.2">
      <c r="B15" s="366"/>
      <c r="C15" s="366"/>
      <c r="E15" s="289">
        <v>4</v>
      </c>
      <c r="F15" s="290" t="str">
        <f>VLOOKUP($A$6,VT_KW,8,0)</f>
        <v>S. Vettel</v>
      </c>
      <c r="G15" s="290" t="str">
        <f t="shared" si="0"/>
        <v>Ferrari</v>
      </c>
      <c r="H15" s="498">
        <f>VLOOKUP($A$6,VT_KW,9,0)</f>
        <v>9.1964120370370366E-4</v>
      </c>
      <c r="I15" s="504"/>
      <c r="J15" s="366"/>
    </row>
    <row r="16" spans="1:16" ht="15" customHeight="1" x14ac:dyDescent="0.2">
      <c r="B16" s="366"/>
      <c r="C16" s="366"/>
      <c r="E16" s="289">
        <v>5</v>
      </c>
      <c r="F16" s="290" t="str">
        <f>VLOOKUP($A$6,VT_KW,10,0)</f>
        <v>D. Ricciardo</v>
      </c>
      <c r="G16" s="290" t="str">
        <f t="shared" si="0"/>
        <v>Renault</v>
      </c>
      <c r="H16" s="498">
        <f>VLOOKUP($A$6,VT_KW,11,0)</f>
        <v>9.2406249999999997E-4</v>
      </c>
      <c r="I16" s="504"/>
      <c r="J16" s="366"/>
    </row>
    <row r="17" spans="2:16" ht="15" customHeight="1" x14ac:dyDescent="0.2">
      <c r="B17" s="366"/>
      <c r="C17" s="366"/>
      <c r="E17" s="289">
        <v>6</v>
      </c>
      <c r="F17" s="290" t="str">
        <f>VLOOKUP($A$6,VT_KW,12,0)</f>
        <v>N. Hulkenberg</v>
      </c>
      <c r="G17" s="290" t="str">
        <f t="shared" si="0"/>
        <v>Renault</v>
      </c>
      <c r="H17" s="498">
        <f>VLOOKUP($A$6,VT_KW,13,0)</f>
        <v>9.2649305555555551E-4</v>
      </c>
      <c r="I17" s="504"/>
      <c r="J17" s="366"/>
    </row>
    <row r="18" spans="2:16" ht="15" customHeight="1" x14ac:dyDescent="0.2">
      <c r="B18" s="366"/>
      <c r="C18" s="366"/>
      <c r="E18" s="289">
        <v>7</v>
      </c>
      <c r="F18" s="290" t="str">
        <f>VLOOKUP($A$6,VT_KW,14,0)</f>
        <v>C. Sainz</v>
      </c>
      <c r="G18" s="290" t="str">
        <f t="shared" si="0"/>
        <v>McLaren</v>
      </c>
      <c r="H18" s="498">
        <f>VLOOKUP($A$6,VT_KW,15,0)</f>
        <v>9.311921296296298E-4</v>
      </c>
      <c r="I18" s="504"/>
      <c r="J18" s="366"/>
    </row>
    <row r="19" spans="2:16" ht="15" customHeight="1" x14ac:dyDescent="0.2">
      <c r="B19" s="366"/>
      <c r="C19" s="366"/>
      <c r="E19" s="289">
        <v>8</v>
      </c>
      <c r="F19" s="290" t="str">
        <f>VLOOKUP($A$6,VT_KW,16,0)</f>
        <v>A. Albon¹</v>
      </c>
      <c r="G19" s="290" t="str">
        <f t="shared" si="0"/>
        <v>Red Bull</v>
      </c>
      <c r="H19" s="498" t="str">
        <f>VLOOKUP($A$6,VT_KW,17,0)</f>
        <v>…</v>
      </c>
      <c r="I19" s="504"/>
      <c r="J19" s="366"/>
    </row>
    <row r="20" spans="2:16" ht="15" customHeight="1" x14ac:dyDescent="0.2">
      <c r="B20" s="366"/>
      <c r="C20" s="366"/>
      <c r="E20" s="289">
        <v>9</v>
      </c>
      <c r="F20" s="290" t="str">
        <f>VLOOKUP($A$6,VT_KW,18,0)</f>
        <v>L. Stroll</v>
      </c>
      <c r="G20" s="290" t="str">
        <f t="shared" si="0"/>
        <v>Racing Point</v>
      </c>
      <c r="H20" s="498" t="str">
        <f>VLOOKUP($A$6,VT_KW,19,0)</f>
        <v>…</v>
      </c>
      <c r="I20" s="504"/>
      <c r="J20" s="366"/>
    </row>
    <row r="21" spans="2:16" ht="15" customHeight="1" x14ac:dyDescent="0.2">
      <c r="B21" s="366"/>
      <c r="C21" s="366"/>
      <c r="E21" s="289">
        <v>10</v>
      </c>
      <c r="F21" s="290" t="str">
        <f>VLOOKUP($A$6,VT_KW,20,0)</f>
        <v>K. Raïkkönen</v>
      </c>
      <c r="G21" s="290" t="str">
        <f t="shared" si="0"/>
        <v>Alfa Romeo</v>
      </c>
      <c r="H21" s="498" t="str">
        <f>VLOOKUP($A$6,VT_KW,21,0)</f>
        <v>…</v>
      </c>
      <c r="I21" s="504"/>
      <c r="J21" s="366"/>
    </row>
    <row r="22" spans="2:16" ht="15" customHeight="1" x14ac:dyDescent="0.2">
      <c r="B22" s="366"/>
      <c r="C22" s="366"/>
      <c r="E22" s="293">
        <v>11</v>
      </c>
      <c r="F22" s="290" t="str">
        <f>VLOOKUP($A$6,VT_KW,22,0)</f>
        <v>A. Giovinazzi</v>
      </c>
      <c r="G22" s="290" t="str">
        <f t="shared" si="0"/>
        <v>Alfa Romeo</v>
      </c>
      <c r="H22" s="498">
        <f>VLOOKUP($A$6,VT_KW,23,0)</f>
        <v>9.319097222222221E-4</v>
      </c>
      <c r="I22" s="504"/>
      <c r="J22" s="366"/>
    </row>
    <row r="23" spans="2:16" ht="15" customHeight="1" x14ac:dyDescent="0.2">
      <c r="B23" s="366"/>
      <c r="C23" s="366"/>
      <c r="E23" s="293">
        <v>12</v>
      </c>
      <c r="F23" s="290" t="str">
        <f>VLOOKUP($A$6,VT_KW,24,0)</f>
        <v>K. Magnussen</v>
      </c>
      <c r="G23" s="290" t="str">
        <f t="shared" si="0"/>
        <v>Haas</v>
      </c>
      <c r="H23" s="498">
        <f>VLOOKUP($A$6,VT_KW,25,0)</f>
        <v>9.3304398148148142E-4</v>
      </c>
      <c r="I23" s="504"/>
      <c r="J23" s="366"/>
    </row>
    <row r="24" spans="2:16" ht="15" customHeight="1" x14ac:dyDescent="0.2">
      <c r="B24" s="366"/>
      <c r="C24" s="366"/>
      <c r="E24" s="293">
        <v>13</v>
      </c>
      <c r="F24" s="290" t="str">
        <f>VLOOKUP($A$6,VT_KW,26,0)</f>
        <v>D. Kvyat</v>
      </c>
      <c r="G24" s="290" t="str">
        <f t="shared" si="0"/>
        <v>Toro Rosso</v>
      </c>
      <c r="H24" s="498">
        <f>VLOOKUP($A$6,VT_KW,27,0)</f>
        <v>9.3321759259259269E-4</v>
      </c>
      <c r="I24" s="504"/>
      <c r="J24" s="366"/>
    </row>
    <row r="25" spans="2:16" ht="15" customHeight="1" x14ac:dyDescent="0.2">
      <c r="B25" s="366"/>
      <c r="C25" s="366"/>
      <c r="E25" s="293">
        <v>14</v>
      </c>
      <c r="F25" s="290" t="str">
        <f>VLOOKUP($A$6,VT_KW,28,0)</f>
        <v>L. Norris</v>
      </c>
      <c r="G25" s="290" t="str">
        <f t="shared" si="0"/>
        <v>McLaren</v>
      </c>
      <c r="H25" s="498">
        <f>VLOOKUP($A$6,VT_KW,29,0)</f>
        <v>9.3828703703703695E-4</v>
      </c>
      <c r="I25" s="504"/>
      <c r="J25" s="366"/>
    </row>
    <row r="26" spans="2:16" ht="15" customHeight="1" x14ac:dyDescent="0.2">
      <c r="E26" s="293">
        <v>15</v>
      </c>
      <c r="F26" s="290" t="str">
        <f>VLOOKUP($A$6,VT_KW,30,0)</f>
        <v>P. Gasly¹</v>
      </c>
      <c r="G26" s="290" t="str">
        <f t="shared" si="0"/>
        <v>Toro Rosso</v>
      </c>
      <c r="H26" s="498">
        <f>VLOOKUP($A$6,VT_KW,31,0)</f>
        <v>9.3894675925925927E-4</v>
      </c>
      <c r="I26" s="505"/>
    </row>
    <row r="27" spans="2:16" ht="15" customHeight="1" x14ac:dyDescent="0.2">
      <c r="E27" s="510">
        <v>16</v>
      </c>
      <c r="F27" s="290" t="str">
        <f>VLOOKUP($A$6,VT_KW,32,0)</f>
        <v>R. Grosjean</v>
      </c>
      <c r="G27" s="290" t="str">
        <f t="shared" si="0"/>
        <v>Haas</v>
      </c>
      <c r="H27" s="498">
        <f>VLOOKUP($A$6,VT_KW,33,0)</f>
        <v>9.3500000000000007E-4</v>
      </c>
      <c r="I27" s="505" t="str">
        <f>IF(Q26=TRUE," ",(IF($P$27=TRUE," ",IF(H27&gt;$L$27,"  r","  a"))))</f>
        <v xml:space="preserve">  a</v>
      </c>
      <c r="J27" s="735" t="s">
        <v>342</v>
      </c>
      <c r="K27" s="736"/>
      <c r="L27" s="737">
        <f>VLOOKUP(A5,grandprix,139,0)</f>
        <v>9.9229166666666671E-4</v>
      </c>
      <c r="M27" s="738"/>
      <c r="N27" s="506"/>
      <c r="O27" s="361" t="b">
        <f t="shared" ref="O27:O31" si="1">IF(I27="  r",TRUE)</f>
        <v>0</v>
      </c>
      <c r="P27" s="361" t="b">
        <f>IF(L27="…",TRUE)</f>
        <v>0</v>
      </c>
    </row>
    <row r="28" spans="2:16" ht="15" customHeight="1" x14ac:dyDescent="0.2">
      <c r="E28" s="510">
        <v>17</v>
      </c>
      <c r="F28" s="290" t="str">
        <f>VLOOKUP($A$6,VT_KW,34,0)</f>
        <v>S. Pérez</v>
      </c>
      <c r="G28" s="290" t="str">
        <f t="shared" si="0"/>
        <v>Racing Point</v>
      </c>
      <c r="H28" s="498">
        <f>VLOOKUP($A$6,VT_KW,35,0)</f>
        <v>9.4086805555555547E-4</v>
      </c>
      <c r="I28" s="505" t="str">
        <f>IF($P$27=TRUE," ",IF(H28&gt;$L$27,"  r","  a"))</f>
        <v xml:space="preserve">  a</v>
      </c>
      <c r="J28" s="740" t="s">
        <v>440</v>
      </c>
      <c r="K28" s="740"/>
      <c r="L28" s="740"/>
      <c r="M28" s="740"/>
      <c r="N28" s="740"/>
      <c r="O28" s="361" t="b">
        <f t="shared" si="1"/>
        <v>0</v>
      </c>
    </row>
    <row r="29" spans="2:16" ht="15" customHeight="1" x14ac:dyDescent="0.2">
      <c r="E29" s="510">
        <v>18</v>
      </c>
      <c r="F29" s="290" t="str">
        <f>VLOOKUP($A$6,VT_KW,36,0)</f>
        <v>G. Russell</v>
      </c>
      <c r="G29" s="290" t="str">
        <f t="shared" si="0"/>
        <v>Williams</v>
      </c>
      <c r="H29" s="498">
        <f>VLOOKUP($A$6,VT_KW,37,0)</f>
        <v>9.4675925925925917E-4</v>
      </c>
      <c r="I29" s="505" t="str">
        <f>IF($P$27=TRUE," ",IF(H29&gt;$L$27,"  r","  a"))</f>
        <v xml:space="preserve">  a</v>
      </c>
      <c r="J29" s="740"/>
      <c r="K29" s="740"/>
      <c r="L29" s="740"/>
      <c r="M29" s="740"/>
      <c r="N29" s="740"/>
      <c r="O29" s="361" t="b">
        <f t="shared" si="1"/>
        <v>0</v>
      </c>
    </row>
    <row r="30" spans="2:16" ht="15" customHeight="1" x14ac:dyDescent="0.2">
      <c r="E30" s="510">
        <v>19</v>
      </c>
      <c r="F30" s="290" t="str">
        <f>VLOOKUP($A$6,VT_KW,38,0)</f>
        <v>R. Kubica</v>
      </c>
      <c r="G30" s="290" t="str">
        <f t="shared" si="0"/>
        <v>Williams</v>
      </c>
      <c r="H30" s="498">
        <f>VLOOKUP($A$6,VT_KW,39,0)</f>
        <v>9.5319444444444444E-4</v>
      </c>
      <c r="I30" s="505" t="str">
        <f>IF($P$27=TRUE," ",IF(H30&gt;$L$27,"  r","  a"))</f>
        <v xml:space="preserve">  a</v>
      </c>
      <c r="J30" s="740"/>
      <c r="K30" s="740"/>
      <c r="L30" s="740"/>
      <c r="M30" s="740"/>
      <c r="N30" s="740"/>
      <c r="O30" s="361" t="b">
        <f t="shared" si="1"/>
        <v>0</v>
      </c>
    </row>
    <row r="31" spans="2:16" ht="15" customHeight="1" x14ac:dyDescent="0.2">
      <c r="E31" s="510">
        <v>20</v>
      </c>
      <c r="F31" s="290" t="str">
        <f>VLOOKUP($A$6,VT_KW,40,0)</f>
        <v>M. Verstappen</v>
      </c>
      <c r="G31" s="290" t="str">
        <f>VLOOKUP(F31,rijder,2,0)</f>
        <v>Red Bull</v>
      </c>
      <c r="H31" s="498" t="str">
        <f>VLOOKUP($A$6,VT_KW,41,0)</f>
        <v>…</v>
      </c>
      <c r="I31" s="505" t="str">
        <f>IF($P$27=TRUE," ",IF(H31&gt;$L$27,"  r","  a"))</f>
        <v xml:space="preserve">  r</v>
      </c>
      <c r="J31" s="740"/>
      <c r="K31" s="740"/>
      <c r="L31" s="740"/>
      <c r="M31" s="740"/>
      <c r="N31" s="740"/>
      <c r="O31" s="361" t="b">
        <f t="shared" si="1"/>
        <v>1</v>
      </c>
    </row>
    <row r="32" spans="2:16" ht="12" customHeight="1" x14ac:dyDescent="0.2">
      <c r="H32" s="366"/>
      <c r="I32" s="507"/>
      <c r="J32" s="507"/>
      <c r="K32" s="507"/>
      <c r="L32" s="507"/>
      <c r="M32" s="507"/>
      <c r="N32" s="507"/>
    </row>
    <row r="33" spans="3:14" ht="15" customHeight="1" x14ac:dyDescent="0.2">
      <c r="C33" s="739"/>
      <c r="D33" s="739"/>
      <c r="E33" s="739"/>
      <c r="F33" s="739"/>
      <c r="G33" s="739"/>
      <c r="H33" s="739"/>
      <c r="I33" s="739"/>
      <c r="J33" s="507"/>
      <c r="K33" s="507"/>
      <c r="L33" s="507"/>
      <c r="M33" s="507"/>
      <c r="N33" s="507"/>
    </row>
    <row r="34" spans="3:14" x14ac:dyDescent="0.2">
      <c r="H34" s="366"/>
      <c r="I34" s="507"/>
      <c r="J34" s="507"/>
      <c r="K34" s="507"/>
      <c r="L34" s="507"/>
      <c r="M34" s="507"/>
      <c r="N34" s="507"/>
    </row>
    <row r="35" spans="3:14" x14ac:dyDescent="0.2">
      <c r="I35" s="507"/>
      <c r="J35" s="507"/>
      <c r="K35" s="507"/>
      <c r="L35" s="507"/>
      <c r="M35" s="507"/>
      <c r="N35" s="507"/>
    </row>
    <row r="36" spans="3:14" x14ac:dyDescent="0.2">
      <c r="I36" s="507"/>
      <c r="J36" s="507"/>
      <c r="K36" s="507"/>
      <c r="L36" s="507"/>
      <c r="M36" s="507"/>
      <c r="N36" s="507"/>
    </row>
    <row r="37" spans="3:14" x14ac:dyDescent="0.2">
      <c r="I37" s="507"/>
      <c r="J37" s="507"/>
      <c r="K37" s="507"/>
      <c r="L37" s="507"/>
      <c r="M37" s="507"/>
      <c r="N37" s="507"/>
    </row>
    <row r="38" spans="3:14" x14ac:dyDescent="0.2">
      <c r="I38" s="507"/>
      <c r="J38" s="507"/>
      <c r="K38" s="507"/>
      <c r="L38" s="507"/>
      <c r="M38" s="507"/>
      <c r="N38" s="507"/>
    </row>
  </sheetData>
  <sheetProtection sheet="1" formatColumns="0" formatRows="0" selectLockedCells="1" selectUnlockedCells="1"/>
  <mergeCells count="5">
    <mergeCell ref="C9:I9"/>
    <mergeCell ref="J27:K27"/>
    <mergeCell ref="L27:M27"/>
    <mergeCell ref="C33:I33"/>
    <mergeCell ref="J28:N31"/>
  </mergeCells>
  <phoneticPr fontId="2" type="noConversion"/>
  <conditionalFormatting sqref="K12:K14 H12:H31">
    <cfRule type="cellIs" dxfId="100" priority="22" stopIfTrue="1" operator="equal">
      <formula>"geen tijd"</formula>
    </cfRule>
  </conditionalFormatting>
  <conditionalFormatting sqref="J12:J14 J28">
    <cfRule type="cellIs" dxfId="99" priority="23" stopIfTrue="1" operator="equal">
      <formula>"B"</formula>
    </cfRule>
    <cfRule type="cellIs" dxfId="98" priority="24" stopIfTrue="1" operator="equal">
      <formula>"M"</formula>
    </cfRule>
    <cfRule type="cellIs" dxfId="97" priority="25" stopIfTrue="1" operator="equal">
      <formula>"..."</formula>
    </cfRule>
  </conditionalFormatting>
  <conditionalFormatting sqref="I13:I25">
    <cfRule type="cellIs" dxfId="96" priority="26" stopIfTrue="1" operator="equal">
      <formula>"r"</formula>
    </cfRule>
    <cfRule type="cellIs" dxfId="95" priority="27" stopIfTrue="1" operator="equal">
      <formula>"s"</formula>
    </cfRule>
  </conditionalFormatting>
  <conditionalFormatting sqref="I26:I31">
    <cfRule type="cellIs" dxfId="94" priority="28" stopIfTrue="1" operator="equal">
      <formula>"  r"</formula>
    </cfRule>
    <cfRule type="cellIs" dxfId="93" priority="29" stopIfTrue="1" operator="equal">
      <formula>"  a"</formula>
    </cfRule>
  </conditionalFormatting>
  <conditionalFormatting sqref="E28:E31">
    <cfRule type="expression" dxfId="92" priority="11" stopIfTrue="1">
      <formula>IF(O28,TRUE)</formula>
    </cfRule>
  </conditionalFormatting>
  <conditionalFormatting sqref="E27">
    <cfRule type="expression" dxfId="91" priority="126" stopIfTrue="1">
      <formula>IF(O27,TRUE)</formula>
    </cfRule>
  </conditionalFormatting>
  <dataValidations count="1">
    <dataValidation type="whole" allowBlank="1" showInputMessage="1" showErrorMessage="1" sqref="A8" xr:uid="{00000000-0002-0000-0600-000000000000}">
      <formula1>1</formula1>
      <formula2>21</formula2>
    </dataValidation>
  </dataValidations>
  <pageMargins left="0.75" right="0.75" top="1" bottom="1" header="0.5" footer="0.5"/>
  <pageSetup paperSize="9" orientation="portrait" horizontalDpi="4294967293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17"/>
  <dimension ref="A1:P44"/>
  <sheetViews>
    <sheetView showGridLines="0" showRowColHeaders="0" zoomScaleNormal="100" workbookViewId="0">
      <selection activeCell="A8" sqref="A8"/>
    </sheetView>
  </sheetViews>
  <sheetFormatPr defaultColWidth="9.28515625" defaultRowHeight="12.75" x14ac:dyDescent="0.2"/>
  <cols>
    <col min="1" max="1" width="9.28515625" style="372"/>
    <col min="2" max="2" width="16" style="361" customWidth="1"/>
    <col min="3" max="3" width="13" style="465" customWidth="1"/>
    <col min="4" max="4" width="2.7109375" style="378" customWidth="1"/>
    <col min="5" max="5" width="4.7109375" style="361" customWidth="1"/>
    <col min="6" max="6" width="13.7109375" style="361" customWidth="1"/>
    <col min="7" max="8" width="4.7109375" style="361" customWidth="1"/>
    <col min="9" max="9" width="13.7109375" style="361" customWidth="1"/>
    <col min="10" max="10" width="2.7109375" style="361" customWidth="1"/>
    <col min="11" max="11" width="12.5703125" style="466" customWidth="1"/>
    <col min="12" max="12" width="4.7109375" style="361" customWidth="1"/>
    <col min="13" max="13" width="12" style="361" customWidth="1"/>
    <col min="14" max="16384" width="9.28515625" style="361"/>
  </cols>
  <sheetData>
    <row r="1" spans="1:16" ht="8.1" customHeight="1" x14ac:dyDescent="0.2">
      <c r="B1" s="360"/>
    </row>
    <row r="2" spans="1:16" s="471" customFormat="1" ht="8.1" customHeight="1" x14ac:dyDescent="0.55000000000000004">
      <c r="A2" s="373"/>
      <c r="B2" s="362"/>
      <c r="C2" s="467"/>
      <c r="D2" s="468"/>
      <c r="E2" s="469"/>
      <c r="F2" s="469"/>
      <c r="G2" s="469"/>
      <c r="H2" s="469"/>
      <c r="I2" s="469"/>
      <c r="J2" s="469"/>
      <c r="K2" s="470"/>
      <c r="L2" s="469"/>
      <c r="M2" s="469"/>
      <c r="N2" s="469"/>
    </row>
    <row r="3" spans="1:16" ht="8.1" customHeight="1" x14ac:dyDescent="0.2">
      <c r="B3" s="360"/>
    </row>
    <row r="4" spans="1:16" ht="8.1" customHeight="1" x14ac:dyDescent="0.2">
      <c r="B4" s="360"/>
    </row>
    <row r="5" spans="1:16" ht="11.1" customHeight="1" x14ac:dyDescent="0.25">
      <c r="A5" s="374" t="str">
        <f>A7&amp;" "&amp;A8</f>
        <v>GP 14</v>
      </c>
      <c r="B5" s="360"/>
    </row>
    <row r="6" spans="1:16" s="366" customFormat="1" ht="11.1" customHeight="1" x14ac:dyDescent="0.2">
      <c r="A6" s="492" t="str">
        <f>A7&amp;" "&amp;A8&amp;" SO"</f>
        <v>GP 14 SO</v>
      </c>
      <c r="B6" s="365"/>
      <c r="C6" s="472"/>
      <c r="D6" s="384"/>
      <c r="K6" s="473"/>
    </row>
    <row r="7" spans="1:16" ht="11.1" customHeight="1" x14ac:dyDescent="0.2">
      <c r="A7" s="375" t="s">
        <v>95</v>
      </c>
      <c r="B7" s="365"/>
      <c r="C7" s="472"/>
      <c r="D7" s="384"/>
      <c r="E7" s="366"/>
      <c r="F7" s="366"/>
      <c r="G7" s="366"/>
      <c r="H7" s="366"/>
      <c r="I7" s="366"/>
      <c r="J7" s="366"/>
      <c r="K7" s="473"/>
      <c r="L7" s="366"/>
      <c r="M7" s="366"/>
    </row>
    <row r="8" spans="1:16" ht="12" customHeight="1" x14ac:dyDescent="0.2">
      <c r="A8" s="439">
        <v>14</v>
      </c>
      <c r="B8" s="365"/>
      <c r="C8" s="472"/>
      <c r="D8" s="384"/>
      <c r="E8" s="366"/>
      <c r="F8" s="366"/>
      <c r="G8" s="366"/>
      <c r="H8" s="366"/>
      <c r="I8" s="366"/>
      <c r="J8" s="366"/>
      <c r="K8" s="473"/>
      <c r="L8" s="366"/>
      <c r="M8" s="366"/>
    </row>
    <row r="9" spans="1:16" ht="18.75" x14ac:dyDescent="0.3">
      <c r="A9" s="372" t="str">
        <f>VLOOKUP(A5,grandprix,4,0)</f>
        <v>Italië</v>
      </c>
      <c r="B9" s="365"/>
      <c r="C9" s="732" t="str">
        <f>"GP van "&amp;(VLOOKUP($A$5,grandprix,2,0)&amp;" - startopstelling")</f>
        <v>GP van Italië - startopstelling</v>
      </c>
      <c r="D9" s="732"/>
      <c r="E9" s="732"/>
      <c r="F9" s="732"/>
      <c r="G9" s="732"/>
      <c r="H9" s="732"/>
      <c r="I9" s="732"/>
      <c r="J9" s="732"/>
      <c r="K9" s="732"/>
      <c r="L9" s="732"/>
      <c r="M9" s="474"/>
      <c r="N9" s="475"/>
      <c r="O9" s="475"/>
      <c r="P9" s="475"/>
    </row>
    <row r="10" spans="1:16" ht="6" customHeight="1" x14ac:dyDescent="0.2">
      <c r="B10" s="365"/>
      <c r="E10" s="476"/>
      <c r="F10" s="476"/>
      <c r="G10" s="476"/>
      <c r="H10" s="476"/>
      <c r="I10" s="476"/>
      <c r="J10" s="476"/>
      <c r="K10" s="477"/>
      <c r="L10" s="478"/>
      <c r="M10" s="366"/>
    </row>
    <row r="11" spans="1:16" ht="6" customHeight="1" x14ac:dyDescent="0.2">
      <c r="B11" s="365"/>
      <c r="D11" s="479"/>
      <c r="E11" s="473"/>
      <c r="F11" s="466"/>
      <c r="G11" s="466"/>
      <c r="H11" s="466"/>
      <c r="I11" s="466"/>
      <c r="K11" s="480"/>
      <c r="M11" s="473"/>
      <c r="N11" s="466"/>
      <c r="P11" s="480"/>
    </row>
    <row r="12" spans="1:16" s="485" customFormat="1" ht="15" customHeight="1" x14ac:dyDescent="0.2">
      <c r="A12" s="493"/>
      <c r="B12" s="481"/>
      <c r="C12" s="496" t="str">
        <f>VLOOKUP($A$6,SO,3,0)</f>
        <v>…</v>
      </c>
      <c r="D12" s="482"/>
      <c r="E12" s="621">
        <v>1</v>
      </c>
      <c r="F12" s="622" t="str">
        <f>VLOOKUP($A$6,SO,2,0)</f>
        <v>C. Leclerc</v>
      </c>
      <c r="G12" s="464"/>
      <c r="H12" s="464"/>
      <c r="I12" s="483"/>
      <c r="J12" s="361"/>
      <c r="K12" s="484"/>
      <c r="M12" s="486"/>
    </row>
    <row r="13" spans="1:16" ht="15" customHeight="1" x14ac:dyDescent="0.2">
      <c r="B13" s="365"/>
      <c r="E13" s="741" t="str">
        <f>VLOOKUP(F12,rijder,2,0)</f>
        <v>Ferrari</v>
      </c>
      <c r="F13" s="741"/>
      <c r="G13" s="487"/>
      <c r="H13" s="621">
        <v>2</v>
      </c>
      <c r="I13" s="622" t="str">
        <f>VLOOKUP($A$6,SO,4,0)</f>
        <v>L. Hamilton</v>
      </c>
      <c r="J13" s="366"/>
      <c r="K13" s="494" t="str">
        <f>VLOOKUP($A$6,SO,5,0)</f>
        <v>…</v>
      </c>
      <c r="M13" s="366"/>
    </row>
    <row r="14" spans="1:16" s="485" customFormat="1" ht="15" customHeight="1" x14ac:dyDescent="0.2">
      <c r="A14" s="493"/>
      <c r="B14" s="481"/>
      <c r="C14" s="497"/>
      <c r="D14" s="383"/>
      <c r="E14" s="617"/>
      <c r="F14" s="483"/>
      <c r="G14" s="464"/>
      <c r="H14" s="741" t="str">
        <f>VLOOKUP(I13,rijder,2,0)</f>
        <v>Mercedes</v>
      </c>
      <c r="I14" s="741"/>
      <c r="K14" s="494"/>
      <c r="M14" s="486"/>
    </row>
    <row r="15" spans="1:16" ht="15" customHeight="1" x14ac:dyDescent="0.2">
      <c r="B15" s="365"/>
      <c r="C15" s="496" t="str">
        <f>VLOOKUP($A$6,SO,7,0)</f>
        <v>…</v>
      </c>
      <c r="D15" s="482"/>
      <c r="E15" s="621">
        <v>3</v>
      </c>
      <c r="F15" s="622" t="str">
        <f>VLOOKUP($A$6,SO,6,0)</f>
        <v>V. Bottas</v>
      </c>
      <c r="G15" s="487"/>
      <c r="H15" s="485"/>
      <c r="I15" s="485"/>
      <c r="J15" s="485"/>
      <c r="M15" s="366"/>
    </row>
    <row r="16" spans="1:16" s="485" customFormat="1" ht="15" customHeight="1" x14ac:dyDescent="0.2">
      <c r="A16" s="493"/>
      <c r="B16" s="481"/>
      <c r="C16" s="497"/>
      <c r="D16" s="383"/>
      <c r="E16" s="741" t="str">
        <f>VLOOKUP(F15,rijder,2,0)</f>
        <v>Mercedes</v>
      </c>
      <c r="F16" s="741"/>
      <c r="G16" s="464"/>
      <c r="H16" s="621">
        <v>4</v>
      </c>
      <c r="I16" s="622" t="str">
        <f>VLOOKUP($A$6,SO,8,0)</f>
        <v>S. Vettel</v>
      </c>
      <c r="J16" s="361"/>
      <c r="K16" s="494" t="str">
        <f>VLOOKUP($A$6,SO,9,0)</f>
        <v>…</v>
      </c>
      <c r="M16" s="486"/>
    </row>
    <row r="17" spans="1:13" ht="15" customHeight="1" x14ac:dyDescent="0.2">
      <c r="B17" s="365"/>
      <c r="E17" s="486"/>
      <c r="F17" s="486"/>
      <c r="G17" s="487"/>
      <c r="H17" s="741" t="str">
        <f>VLOOKUP(I16,rijder,2,0)</f>
        <v>Ferrari</v>
      </c>
      <c r="I17" s="741"/>
      <c r="J17" s="490"/>
      <c r="K17" s="494"/>
      <c r="M17" s="366"/>
    </row>
    <row r="18" spans="1:13" s="485" customFormat="1" ht="15" customHeight="1" x14ac:dyDescent="0.2">
      <c r="A18" s="493"/>
      <c r="B18" s="481"/>
      <c r="C18" s="496" t="str">
        <f>VLOOKUP($A$6,SO,11,0)</f>
        <v>…</v>
      </c>
      <c r="D18" s="482"/>
      <c r="E18" s="621">
        <v>5</v>
      </c>
      <c r="F18" s="622" t="str">
        <f>VLOOKUP($A$6,SO,10,0)</f>
        <v>D. Ricciardo</v>
      </c>
      <c r="G18" s="617"/>
      <c r="H18" s="366"/>
      <c r="I18" s="366"/>
      <c r="J18" s="361"/>
      <c r="K18" s="495"/>
      <c r="M18" s="486"/>
    </row>
    <row r="19" spans="1:13" ht="15" customHeight="1" x14ac:dyDescent="0.2">
      <c r="B19" s="365"/>
      <c r="E19" s="741" t="str">
        <f>VLOOKUP(F18,rijder,2,0)</f>
        <v>Renault</v>
      </c>
      <c r="F19" s="741"/>
      <c r="G19" s="487"/>
      <c r="H19" s="621">
        <v>6</v>
      </c>
      <c r="I19" s="622" t="str">
        <f>VLOOKUP($A$6,SO,12,0)</f>
        <v>N. Hulkenberg</v>
      </c>
      <c r="J19" s="366"/>
      <c r="K19" s="494" t="str">
        <f>VLOOKUP($A$6,SO,13,0)</f>
        <v>…</v>
      </c>
      <c r="M19" s="366"/>
    </row>
    <row r="20" spans="1:13" s="485" customFormat="1" ht="15" customHeight="1" x14ac:dyDescent="0.2">
      <c r="A20" s="493"/>
      <c r="B20" s="481"/>
      <c r="C20" s="497"/>
      <c r="D20" s="383"/>
      <c r="E20" s="366"/>
      <c r="F20" s="366"/>
      <c r="G20" s="361"/>
      <c r="H20" s="741" t="str">
        <f>VLOOKUP(I19,rijder,2,0)</f>
        <v>Renault</v>
      </c>
      <c r="I20" s="741"/>
      <c r="J20" s="490"/>
      <c r="K20" s="494"/>
      <c r="M20" s="486"/>
    </row>
    <row r="21" spans="1:13" ht="15" customHeight="1" x14ac:dyDescent="0.2">
      <c r="B21" s="365"/>
      <c r="C21" s="496" t="str">
        <f>VLOOKUP($A$6,SO,15,0)</f>
        <v>…</v>
      </c>
      <c r="D21" s="482"/>
      <c r="E21" s="621">
        <v>7</v>
      </c>
      <c r="F21" s="622" t="str">
        <f>VLOOKUP($A$6,SO,14,0)</f>
        <v>C. Sainz</v>
      </c>
      <c r="G21" s="485"/>
      <c r="H21" s="487"/>
      <c r="I21" s="487"/>
      <c r="J21" s="490"/>
      <c r="M21" s="366"/>
    </row>
    <row r="22" spans="1:13" s="485" customFormat="1" ht="15" customHeight="1" x14ac:dyDescent="0.2">
      <c r="A22" s="493"/>
      <c r="B22" s="481"/>
      <c r="C22" s="497"/>
      <c r="D22" s="383"/>
      <c r="E22" s="741" t="str">
        <f>VLOOKUP(F21,rijder,2,0)</f>
        <v>McLaren</v>
      </c>
      <c r="F22" s="741"/>
      <c r="G22" s="464"/>
      <c r="H22" s="621">
        <v>8</v>
      </c>
      <c r="I22" s="622" t="str">
        <f>VLOOKUP($A$6,SO,16,0)</f>
        <v>A. Albon¹</v>
      </c>
      <c r="J22" s="366"/>
      <c r="K22" s="494" t="str">
        <f>VLOOKUP($A$6,SO,17,0)</f>
        <v>…</v>
      </c>
      <c r="M22" s="486"/>
    </row>
    <row r="23" spans="1:13" ht="15" customHeight="1" x14ac:dyDescent="0.2">
      <c r="B23" s="365"/>
      <c r="E23" s="487"/>
      <c r="F23" s="487"/>
      <c r="G23" s="487"/>
      <c r="H23" s="741" t="str">
        <f>VLOOKUP(I22,rijder,2,0)</f>
        <v>Red Bull</v>
      </c>
      <c r="I23" s="741"/>
      <c r="J23" s="490"/>
      <c r="K23" s="494"/>
      <c r="M23" s="366"/>
    </row>
    <row r="24" spans="1:13" s="485" customFormat="1" ht="15" customHeight="1" x14ac:dyDescent="0.2">
      <c r="A24" s="493"/>
      <c r="B24" s="486"/>
      <c r="C24" s="496" t="str">
        <f>VLOOKUP($A$6,SO,19,0)</f>
        <v>…</v>
      </c>
      <c r="D24" s="482"/>
      <c r="E24" s="621">
        <v>9</v>
      </c>
      <c r="F24" s="622" t="str">
        <f>VLOOKUP($A$6,SO,18,0)</f>
        <v>L. Stroll</v>
      </c>
      <c r="G24" s="617"/>
      <c r="H24" s="617"/>
      <c r="I24" s="617"/>
      <c r="J24" s="361"/>
      <c r="K24" s="495"/>
      <c r="M24" s="486"/>
    </row>
    <row r="25" spans="1:13" ht="15" customHeight="1" x14ac:dyDescent="0.2">
      <c r="B25" s="366"/>
      <c r="E25" s="741" t="str">
        <f>VLOOKUP(F24,rijder,2,0)</f>
        <v>Racing Point</v>
      </c>
      <c r="F25" s="741"/>
      <c r="G25" s="487"/>
      <c r="H25" s="621">
        <v>10</v>
      </c>
      <c r="I25" s="622" t="str">
        <f>VLOOKUP($A$6,SO,20,0)</f>
        <v>A. Giovinazzi</v>
      </c>
      <c r="J25" s="366"/>
      <c r="K25" s="494" t="str">
        <f>VLOOKUP($A$6,SO,21,0)</f>
        <v>…</v>
      </c>
      <c r="M25" s="366"/>
    </row>
    <row r="26" spans="1:13" s="485" customFormat="1" ht="15" customHeight="1" x14ac:dyDescent="0.2">
      <c r="A26" s="493"/>
      <c r="B26" s="486"/>
      <c r="C26" s="497"/>
      <c r="D26" s="383"/>
      <c r="E26" s="617"/>
      <c r="F26" s="617"/>
      <c r="G26" s="464"/>
      <c r="H26" s="741" t="str">
        <f>VLOOKUP(I25,rijder,2,0)</f>
        <v>Alfa Romeo</v>
      </c>
      <c r="I26" s="741"/>
      <c r="J26" s="490"/>
      <c r="K26" s="494"/>
      <c r="M26" s="486"/>
    </row>
    <row r="27" spans="1:13" ht="15" customHeight="1" x14ac:dyDescent="0.2">
      <c r="B27" s="366"/>
      <c r="C27" s="496" t="str">
        <f>VLOOKUP($A$6,SO,23,0)</f>
        <v>…</v>
      </c>
      <c r="D27" s="482"/>
      <c r="E27" s="621">
        <v>11</v>
      </c>
      <c r="F27" s="622" t="str">
        <f>VLOOKUP($A$6,SO,22,0)</f>
        <v>K. Magnussen</v>
      </c>
      <c r="G27" s="487"/>
      <c r="H27" s="486"/>
      <c r="I27" s="486"/>
      <c r="J27" s="485"/>
      <c r="M27" s="366"/>
    </row>
    <row r="28" spans="1:13" s="485" customFormat="1" ht="15" customHeight="1" x14ac:dyDescent="0.2">
      <c r="A28" s="493"/>
      <c r="B28" s="486"/>
      <c r="C28" s="497"/>
      <c r="D28" s="383"/>
      <c r="E28" s="741" t="str">
        <f>VLOOKUP(F27,rijder,2,0)</f>
        <v>Haas</v>
      </c>
      <c r="F28" s="741"/>
      <c r="G28" s="464"/>
      <c r="H28" s="621">
        <v>12</v>
      </c>
      <c r="I28" s="622" t="str">
        <f>VLOOKUP($A$6,SO,24,0)</f>
        <v>D. Kvyat</v>
      </c>
      <c r="J28" s="366"/>
      <c r="K28" s="494" t="str">
        <f>VLOOKUP($A$6,SO,25,0)</f>
        <v>…</v>
      </c>
      <c r="M28" s="486"/>
    </row>
    <row r="29" spans="1:13" ht="15" customHeight="1" x14ac:dyDescent="0.2">
      <c r="B29" s="366"/>
      <c r="E29" s="486"/>
      <c r="F29" s="486"/>
      <c r="G29" s="487"/>
      <c r="H29" s="741" t="str">
        <f>VLOOKUP(I28,rijder,2,0)</f>
        <v>Toro Rosso</v>
      </c>
      <c r="I29" s="741"/>
      <c r="J29" s="490"/>
      <c r="K29" s="494"/>
      <c r="M29" s="366"/>
    </row>
    <row r="30" spans="1:13" s="485" customFormat="1" ht="15" customHeight="1" x14ac:dyDescent="0.2">
      <c r="A30" s="493"/>
      <c r="B30" s="486"/>
      <c r="C30" s="496" t="str">
        <f>VLOOKUP($A$6,SO,27,0)</f>
        <v>…</v>
      </c>
      <c r="D30" s="482"/>
      <c r="E30" s="621">
        <v>13</v>
      </c>
      <c r="F30" s="622" t="str">
        <f>VLOOKUP($A$6,SO,26,0)</f>
        <v>R. Grosjean</v>
      </c>
      <c r="G30" s="617"/>
      <c r="H30" s="361"/>
      <c r="I30" s="361"/>
      <c r="J30" s="361"/>
      <c r="K30" s="495"/>
      <c r="M30" s="486"/>
    </row>
    <row r="31" spans="1:13" ht="15" customHeight="1" x14ac:dyDescent="0.2">
      <c r="B31" s="366"/>
      <c r="E31" s="741" t="str">
        <f>VLOOKUP(F30,rijder,2,0)</f>
        <v>Haas</v>
      </c>
      <c r="F31" s="741"/>
      <c r="G31" s="487"/>
      <c r="H31" s="621">
        <v>14</v>
      </c>
      <c r="I31" s="622" t="str">
        <f>VLOOKUP($A$6,SO,28,0)</f>
        <v>G. Russell</v>
      </c>
      <c r="J31" s="366"/>
      <c r="K31" s="494" t="str">
        <f>VLOOKUP($A$6,SO,29,0)</f>
        <v>…</v>
      </c>
      <c r="M31" s="366"/>
    </row>
    <row r="32" spans="1:13" s="485" customFormat="1" ht="15" customHeight="1" x14ac:dyDescent="0.2">
      <c r="A32" s="493"/>
      <c r="B32" s="486"/>
      <c r="C32" s="497"/>
      <c r="D32" s="383"/>
      <c r="E32" s="366"/>
      <c r="F32" s="366"/>
      <c r="G32" s="464"/>
      <c r="H32" s="741" t="str">
        <f>VLOOKUP(I31,rijder,2,0)</f>
        <v>Williams</v>
      </c>
      <c r="I32" s="741"/>
      <c r="J32" s="490"/>
      <c r="K32" s="494"/>
      <c r="M32" s="486"/>
    </row>
    <row r="33" spans="1:13" ht="15" customHeight="1" x14ac:dyDescent="0.2">
      <c r="B33" s="366"/>
      <c r="C33" s="496" t="str">
        <f>VLOOKUP($A$6,SO,31,0)</f>
        <v>…</v>
      </c>
      <c r="D33" s="482"/>
      <c r="E33" s="621">
        <v>15</v>
      </c>
      <c r="F33" s="622" t="str">
        <f>VLOOKUP($A$6,SO,30,0)</f>
        <v>R. Kubica</v>
      </c>
      <c r="G33" s="487"/>
      <c r="H33" s="487"/>
      <c r="I33" s="623"/>
      <c r="J33" s="490"/>
      <c r="M33" s="366"/>
    </row>
    <row r="34" spans="1:13" s="485" customFormat="1" ht="15" customHeight="1" x14ac:dyDescent="0.2">
      <c r="A34" s="493"/>
      <c r="B34" s="486"/>
      <c r="C34" s="497"/>
      <c r="D34" s="383"/>
      <c r="E34" s="741" t="str">
        <f>VLOOKUP(F33,rijder,2,0)</f>
        <v>Williams</v>
      </c>
      <c r="F34" s="741"/>
      <c r="G34" s="617"/>
      <c r="H34" s="621">
        <v>16</v>
      </c>
      <c r="I34" s="622" t="str">
        <f>VLOOKUP($A$6,SO,32,0)</f>
        <v>L. Norris</v>
      </c>
      <c r="J34" s="361"/>
      <c r="K34" s="494" t="str">
        <f>VLOOKUP($A$6,SO,33,0)</f>
        <v>pen.</v>
      </c>
      <c r="M34" s="486"/>
    </row>
    <row r="35" spans="1:13" ht="15" customHeight="1" x14ac:dyDescent="0.2">
      <c r="B35" s="366"/>
      <c r="E35" s="487"/>
      <c r="F35" s="487"/>
      <c r="G35" s="487"/>
      <c r="H35" s="741" t="str">
        <f>VLOOKUP(I34,rijder,2,0)</f>
        <v>McLaren</v>
      </c>
      <c r="I35" s="741"/>
      <c r="J35" s="490"/>
      <c r="K35" s="494"/>
      <c r="M35" s="366"/>
    </row>
    <row r="36" spans="1:13" s="485" customFormat="1" ht="15" customHeight="1" x14ac:dyDescent="0.2">
      <c r="A36" s="493"/>
      <c r="B36" s="486"/>
      <c r="C36" s="496" t="str">
        <f>VLOOKUP($A$6,SO,35,0)</f>
        <v>pen.</v>
      </c>
      <c r="D36" s="482"/>
      <c r="E36" s="621">
        <v>17</v>
      </c>
      <c r="F36" s="622" t="str">
        <f>VLOOKUP($A$6,SO,34,0)</f>
        <v>P. Gasly¹</v>
      </c>
      <c r="G36" s="464"/>
      <c r="H36" s="617"/>
      <c r="I36" s="617"/>
      <c r="J36" s="361"/>
      <c r="K36" s="495"/>
      <c r="M36" s="486"/>
    </row>
    <row r="37" spans="1:13" ht="15" customHeight="1" x14ac:dyDescent="0.2">
      <c r="B37" s="366"/>
      <c r="E37" s="741" t="str">
        <f>VLOOKUP(F36,rijder,2,0)</f>
        <v>Toro Rosso</v>
      </c>
      <c r="F37" s="741"/>
      <c r="G37" s="487"/>
      <c r="H37" s="621">
        <v>18</v>
      </c>
      <c r="I37" s="622" t="str">
        <f>VLOOKUP($A$6,SO,36,0)</f>
        <v>S. Pérez</v>
      </c>
      <c r="K37" s="494" t="str">
        <f>VLOOKUP($A$6,SO,37,0)</f>
        <v>pen.</v>
      </c>
      <c r="M37" s="366"/>
    </row>
    <row r="38" spans="1:13" s="485" customFormat="1" ht="15" customHeight="1" x14ac:dyDescent="0.2">
      <c r="A38" s="493"/>
      <c r="B38" s="486"/>
      <c r="C38" s="497"/>
      <c r="D38" s="383"/>
      <c r="E38" s="491"/>
      <c r="F38" s="617"/>
      <c r="G38" s="464"/>
      <c r="H38" s="741" t="str">
        <f>VLOOKUP(I37,rijder,2,0)</f>
        <v>Racing Point</v>
      </c>
      <c r="I38" s="741"/>
      <c r="J38" s="490"/>
      <c r="K38" s="494"/>
      <c r="M38" s="486"/>
    </row>
    <row r="39" spans="1:13" ht="15" customHeight="1" x14ac:dyDescent="0.2">
      <c r="C39" s="496" t="str">
        <f>VLOOKUP($A$6,SO,39,0)</f>
        <v>pen.</v>
      </c>
      <c r="D39" s="482"/>
      <c r="E39" s="621">
        <v>19</v>
      </c>
      <c r="F39" s="622" t="str">
        <f>VLOOKUP($A$6,SO,38,0)</f>
        <v>M. Verstappen</v>
      </c>
      <c r="G39" s="487"/>
      <c r="H39" s="485"/>
      <c r="I39" s="485"/>
      <c r="J39" s="485"/>
    </row>
    <row r="40" spans="1:13" s="485" customFormat="1" ht="15" customHeight="1" x14ac:dyDescent="0.2">
      <c r="A40" s="493"/>
      <c r="C40" s="489"/>
      <c r="D40" s="383"/>
      <c r="E40" s="741" t="str">
        <f>VLOOKUP(F39,rijder,2,0)</f>
        <v>Red Bull</v>
      </c>
      <c r="F40" s="741"/>
      <c r="G40" s="464"/>
      <c r="H40" s="621">
        <v>20</v>
      </c>
      <c r="I40" s="622" t="str">
        <f>VLOOKUP($A$6,SO,40,0)</f>
        <v>K. Raïkkönen</v>
      </c>
      <c r="J40" s="361"/>
      <c r="K40" s="494" t="str">
        <f>VLOOKUP($A$6,SO,41,0)</f>
        <v>[pit]</v>
      </c>
    </row>
    <row r="41" spans="1:13" ht="15" customHeight="1" x14ac:dyDescent="0.2">
      <c r="C41" s="379"/>
      <c r="E41" s="485"/>
      <c r="F41" s="485"/>
      <c r="G41" s="487"/>
      <c r="H41" s="741" t="str">
        <f>VLOOKUP(I40,rijder,2,0)</f>
        <v>Alfa Romeo</v>
      </c>
      <c r="I41" s="741"/>
      <c r="J41" s="486"/>
      <c r="K41" s="488"/>
    </row>
    <row r="42" spans="1:13" ht="15" customHeight="1" x14ac:dyDescent="0.2">
      <c r="C42" s="472"/>
      <c r="D42" s="384"/>
      <c r="E42" s="464"/>
      <c r="F42" s="366"/>
      <c r="G42" s="366"/>
      <c r="H42" s="366"/>
      <c r="I42" s="464"/>
      <c r="J42" s="464"/>
      <c r="K42" s="491"/>
    </row>
    <row r="43" spans="1:13" ht="15" customHeight="1" x14ac:dyDescent="0.2">
      <c r="J43" s="366"/>
      <c r="K43" s="473"/>
    </row>
    <row r="44" spans="1:13" ht="15" customHeight="1" x14ac:dyDescent="0.2"/>
  </sheetData>
  <sheetProtection sheet="1" formatColumns="0" formatRows="0" selectLockedCells="1" selectUnlockedCells="1"/>
  <mergeCells count="21">
    <mergeCell ref="H38:I38"/>
    <mergeCell ref="H41:I41"/>
    <mergeCell ref="E40:F40"/>
    <mergeCell ref="H26:I26"/>
    <mergeCell ref="C9:L9"/>
    <mergeCell ref="E13:F13"/>
    <mergeCell ref="H14:I14"/>
    <mergeCell ref="E16:F16"/>
    <mergeCell ref="H17:I17"/>
    <mergeCell ref="E19:F19"/>
    <mergeCell ref="H20:I20"/>
    <mergeCell ref="H23:I23"/>
    <mergeCell ref="E22:F22"/>
    <mergeCell ref="E25:F25"/>
    <mergeCell ref="E37:F37"/>
    <mergeCell ref="E28:F28"/>
    <mergeCell ref="H29:I29"/>
    <mergeCell ref="E31:F31"/>
    <mergeCell ref="H32:I32"/>
    <mergeCell ref="E34:F34"/>
    <mergeCell ref="H35:I35"/>
  </mergeCells>
  <phoneticPr fontId="2" type="noConversion"/>
  <conditionalFormatting sqref="E12">
    <cfRule type="expression" dxfId="90" priority="131" stopIfTrue="1">
      <formula>IF(#REF!,TRUE)</formula>
    </cfRule>
    <cfRule type="expression" dxfId="89" priority="132" stopIfTrue="1">
      <formula>IF(#REF!,TRUE)</formula>
    </cfRule>
  </conditionalFormatting>
  <conditionalFormatting sqref="E18">
    <cfRule type="expression" dxfId="88" priority="39" stopIfTrue="1">
      <formula>IF(#REF!,TRUE)</formula>
    </cfRule>
    <cfRule type="expression" dxfId="87" priority="40" stopIfTrue="1">
      <formula>IF(#REF!,TRUE)</formula>
    </cfRule>
  </conditionalFormatting>
  <conditionalFormatting sqref="E21">
    <cfRule type="expression" dxfId="86" priority="35" stopIfTrue="1">
      <formula>IF(#REF!,TRUE)</formula>
    </cfRule>
    <cfRule type="expression" dxfId="85" priority="36" stopIfTrue="1">
      <formula>IF(#REF!,TRUE)</formula>
    </cfRule>
  </conditionalFormatting>
  <conditionalFormatting sqref="H22">
    <cfRule type="expression" dxfId="84" priority="33" stopIfTrue="1">
      <formula>IF(#REF!,TRUE)</formula>
    </cfRule>
    <cfRule type="expression" dxfId="83" priority="34" stopIfTrue="1">
      <formula>IF(#REF!,TRUE)</formula>
    </cfRule>
  </conditionalFormatting>
  <conditionalFormatting sqref="E24">
    <cfRule type="expression" dxfId="82" priority="31" stopIfTrue="1">
      <formula>IF(#REF!,TRUE)</formula>
    </cfRule>
    <cfRule type="expression" dxfId="81" priority="32" stopIfTrue="1">
      <formula>IF(#REF!,TRUE)</formula>
    </cfRule>
  </conditionalFormatting>
  <conditionalFormatting sqref="H25">
    <cfRule type="expression" dxfId="80" priority="29" stopIfTrue="1">
      <formula>IF(#REF!,TRUE)</formula>
    </cfRule>
    <cfRule type="expression" dxfId="79" priority="30" stopIfTrue="1">
      <formula>IF(#REF!,TRUE)</formula>
    </cfRule>
  </conditionalFormatting>
  <conditionalFormatting sqref="E27">
    <cfRule type="expression" dxfId="78" priority="27" stopIfTrue="1">
      <formula>IF(#REF!,TRUE)</formula>
    </cfRule>
    <cfRule type="expression" dxfId="77" priority="28" stopIfTrue="1">
      <formula>IF(#REF!,TRUE)</formula>
    </cfRule>
  </conditionalFormatting>
  <conditionalFormatting sqref="E30">
    <cfRule type="expression" dxfId="76" priority="25" stopIfTrue="1">
      <formula>IF(#REF!,TRUE)</formula>
    </cfRule>
    <cfRule type="expression" dxfId="75" priority="26" stopIfTrue="1">
      <formula>IF(#REF!,TRUE)</formula>
    </cfRule>
  </conditionalFormatting>
  <conditionalFormatting sqref="H28">
    <cfRule type="expression" dxfId="74" priority="23" stopIfTrue="1">
      <formula>IF(#REF!,TRUE)</formula>
    </cfRule>
    <cfRule type="expression" dxfId="73" priority="24" stopIfTrue="1">
      <formula>IF(#REF!,TRUE)</formula>
    </cfRule>
  </conditionalFormatting>
  <conditionalFormatting sqref="H31">
    <cfRule type="expression" dxfId="72" priority="21" stopIfTrue="1">
      <formula>IF(#REF!,TRUE)</formula>
    </cfRule>
    <cfRule type="expression" dxfId="71" priority="22" stopIfTrue="1">
      <formula>IF(#REF!,TRUE)</formula>
    </cfRule>
  </conditionalFormatting>
  <conditionalFormatting sqref="E33">
    <cfRule type="expression" dxfId="70" priority="19" stopIfTrue="1">
      <formula>IF(#REF!,TRUE)</formula>
    </cfRule>
    <cfRule type="expression" dxfId="69" priority="20" stopIfTrue="1">
      <formula>IF(#REF!,TRUE)</formula>
    </cfRule>
  </conditionalFormatting>
  <conditionalFormatting sqref="H34">
    <cfRule type="expression" dxfId="68" priority="17" stopIfTrue="1">
      <formula>IF(#REF!,TRUE)</formula>
    </cfRule>
    <cfRule type="expression" dxfId="67" priority="18" stopIfTrue="1">
      <formula>IF(#REF!,TRUE)</formula>
    </cfRule>
  </conditionalFormatting>
  <conditionalFormatting sqref="E36">
    <cfRule type="expression" dxfId="66" priority="15" stopIfTrue="1">
      <formula>IF(#REF!,TRUE)</formula>
    </cfRule>
    <cfRule type="expression" dxfId="65" priority="16" stopIfTrue="1">
      <formula>IF(#REF!,TRUE)</formula>
    </cfRule>
  </conditionalFormatting>
  <conditionalFormatting sqref="E39">
    <cfRule type="expression" dxfId="64" priority="13" stopIfTrue="1">
      <formula>IF(#REF!,TRUE)</formula>
    </cfRule>
    <cfRule type="expression" dxfId="63" priority="14" stopIfTrue="1">
      <formula>IF(#REF!,TRUE)</formula>
    </cfRule>
  </conditionalFormatting>
  <conditionalFormatting sqref="H37">
    <cfRule type="expression" dxfId="62" priority="11" stopIfTrue="1">
      <formula>IF(#REF!,TRUE)</formula>
    </cfRule>
    <cfRule type="expression" dxfId="61" priority="12" stopIfTrue="1">
      <formula>IF(#REF!,TRUE)</formula>
    </cfRule>
  </conditionalFormatting>
  <conditionalFormatting sqref="H40">
    <cfRule type="expression" dxfId="60" priority="9" stopIfTrue="1">
      <formula>IF(#REF!,TRUE)</formula>
    </cfRule>
    <cfRule type="expression" dxfId="59" priority="10" stopIfTrue="1">
      <formula>IF(#REF!,TRUE)</formula>
    </cfRule>
  </conditionalFormatting>
  <conditionalFormatting sqref="H13">
    <cfRule type="expression" dxfId="58" priority="7" stopIfTrue="1">
      <formula>IF(#REF!,TRUE)</formula>
    </cfRule>
    <cfRule type="expression" dxfId="57" priority="8" stopIfTrue="1">
      <formula>IF(#REF!,TRUE)</formula>
    </cfRule>
  </conditionalFormatting>
  <conditionalFormatting sqref="E15">
    <cfRule type="expression" dxfId="56" priority="5" stopIfTrue="1">
      <formula>IF(#REF!,TRUE)</formula>
    </cfRule>
    <cfRule type="expression" dxfId="55" priority="6" stopIfTrue="1">
      <formula>IF(#REF!,TRUE)</formula>
    </cfRule>
  </conditionalFormatting>
  <conditionalFormatting sqref="H16">
    <cfRule type="expression" dxfId="54" priority="3" stopIfTrue="1">
      <formula>IF(#REF!,TRUE)</formula>
    </cfRule>
    <cfRule type="expression" dxfId="53" priority="4" stopIfTrue="1">
      <formula>IF(#REF!,TRUE)</formula>
    </cfRule>
  </conditionalFormatting>
  <conditionalFormatting sqref="H19">
    <cfRule type="expression" dxfId="52" priority="1" stopIfTrue="1">
      <formula>IF(#REF!,TRUE)</formula>
    </cfRule>
    <cfRule type="expression" dxfId="51" priority="2" stopIfTrue="1">
      <formula>IF(#REF!,TRUE)</formula>
    </cfRule>
  </conditionalFormatting>
  <dataValidations count="1">
    <dataValidation type="whole" allowBlank="1" showInputMessage="1" showErrorMessage="1" sqref="A8" xr:uid="{00000000-0002-0000-0700-000000000000}">
      <formula1>1</formula1>
      <formula2>21</formula2>
    </dataValidation>
  </dataValidations>
  <pageMargins left="0.75" right="0.75" top="1" bottom="1" header="0.5" footer="0.5"/>
  <pageSetup paperSize="9" orientation="portrait" horizontalDpi="4294967293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4"/>
  <dimension ref="A1:X38"/>
  <sheetViews>
    <sheetView showGridLines="0" showRowColHeaders="0" zoomScaleNormal="100" workbookViewId="0">
      <selection activeCell="A8" sqref="A8"/>
    </sheetView>
  </sheetViews>
  <sheetFormatPr defaultColWidth="9.28515625" defaultRowHeight="12.75" x14ac:dyDescent="0.2"/>
  <cols>
    <col min="1" max="1" width="9.28515625" style="372"/>
    <col min="2" max="2" width="16" style="361" customWidth="1"/>
    <col min="3" max="3" width="4.7109375" style="361" customWidth="1"/>
    <col min="4" max="4" width="15.5703125" style="361" customWidth="1"/>
    <col min="5" max="5" width="5" style="361" customWidth="1"/>
    <col min="6" max="6" width="13.28515625" style="361" customWidth="1"/>
    <col min="7" max="7" width="10" style="361" customWidth="1"/>
    <col min="8" max="8" width="4.7109375" style="361" customWidth="1"/>
    <col min="9" max="9" width="2.7109375" style="361" customWidth="1"/>
    <col min="10" max="10" width="4.7109375" style="361" customWidth="1"/>
    <col min="11" max="11" width="2.5703125" style="361" customWidth="1"/>
    <col min="12" max="14" width="2.7109375" style="361" customWidth="1"/>
    <col min="15" max="15" width="5.7109375" style="361" customWidth="1"/>
    <col min="16" max="16" width="12" style="361" customWidth="1"/>
    <col min="17" max="17" width="9.28515625" style="361"/>
    <col min="18" max="24" width="9.28515625" style="361" hidden="1" customWidth="1"/>
    <col min="25" max="16384" width="9.28515625" style="361"/>
  </cols>
  <sheetData>
    <row r="1" spans="1:24" ht="8.1" customHeight="1" x14ac:dyDescent="0.2">
      <c r="A1" s="492">
        <v>1</v>
      </c>
      <c r="B1" s="360"/>
    </row>
    <row r="2" spans="1:24" s="471" customFormat="1" ht="8.1" customHeight="1" x14ac:dyDescent="0.55000000000000004">
      <c r="A2" s="374"/>
      <c r="B2" s="362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</row>
    <row r="3" spans="1:24" ht="8.1" customHeight="1" x14ac:dyDescent="0.2">
      <c r="B3" s="360"/>
      <c r="T3" s="513"/>
      <c r="U3" s="513"/>
    </row>
    <row r="4" spans="1:24" ht="8.1" customHeight="1" x14ac:dyDescent="0.2">
      <c r="B4" s="360"/>
      <c r="T4" s="514"/>
      <c r="U4" s="514"/>
    </row>
    <row r="5" spans="1:24" ht="11.1" customHeight="1" x14ac:dyDescent="0.2">
      <c r="A5" s="519" t="str">
        <f>A7&amp;" "&amp;A8</f>
        <v>GP 14</v>
      </c>
      <c r="B5" s="360"/>
      <c r="T5" s="515"/>
      <c r="U5" s="515"/>
    </row>
    <row r="6" spans="1:24" s="366" customFormat="1" ht="11.1" customHeight="1" x14ac:dyDescent="0.2">
      <c r="A6" s="519"/>
      <c r="B6" s="365"/>
    </row>
    <row r="7" spans="1:24" ht="11.1" customHeight="1" x14ac:dyDescent="0.2">
      <c r="A7" s="376" t="s">
        <v>95</v>
      </c>
      <c r="B7" s="365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6"/>
      <c r="P7" s="366"/>
    </row>
    <row r="8" spans="1:24" ht="12" customHeight="1" x14ac:dyDescent="0.2">
      <c r="A8" s="439">
        <v>14</v>
      </c>
      <c r="B8" s="365"/>
      <c r="C8" s="366"/>
      <c r="D8" s="366"/>
      <c r="E8" s="366"/>
      <c r="F8" s="366"/>
      <c r="G8" s="366"/>
      <c r="H8" s="366"/>
      <c r="I8" s="366"/>
      <c r="J8" s="366"/>
      <c r="K8" s="366"/>
      <c r="L8" s="366"/>
      <c r="M8" s="366"/>
      <c r="N8" s="366"/>
      <c r="O8" s="366"/>
      <c r="P8" s="366"/>
    </row>
    <row r="9" spans="1:24" ht="18.75" x14ac:dyDescent="0.3">
      <c r="A9" s="372" t="str">
        <f>VLOOKUP(A5,grandprix,4,0)</f>
        <v>Italië</v>
      </c>
      <c r="B9" s="365"/>
      <c r="C9" s="732" t="str">
        <f>"GP van "&amp;(VLOOKUP($A$5,grandprix,2,0)&amp;" - uitslag race")</f>
        <v>GP van Italië - uitslag race</v>
      </c>
      <c r="D9" s="732"/>
      <c r="E9" s="732"/>
      <c r="F9" s="732"/>
      <c r="G9" s="732"/>
      <c r="H9" s="732"/>
      <c r="I9" s="732"/>
      <c r="J9" s="732"/>
      <c r="K9" s="732"/>
      <c r="L9" s="732"/>
      <c r="M9" s="732"/>
      <c r="N9" s="732"/>
      <c r="O9" s="732"/>
      <c r="P9" s="368"/>
    </row>
    <row r="10" spans="1:24" ht="12" customHeight="1" x14ac:dyDescent="0.2">
      <c r="A10" s="492">
        <v>1</v>
      </c>
      <c r="B10" s="365"/>
      <c r="O10" s="366"/>
      <c r="P10" s="366"/>
    </row>
    <row r="11" spans="1:24" ht="15" customHeight="1" x14ac:dyDescent="0.2">
      <c r="A11" s="376"/>
      <c r="B11" s="365"/>
      <c r="C11" s="419" t="s">
        <v>246</v>
      </c>
      <c r="D11" s="419" t="s">
        <v>283</v>
      </c>
      <c r="E11" s="419"/>
      <c r="F11" s="419" t="s">
        <v>10</v>
      </c>
      <c r="G11" s="742" t="s">
        <v>247</v>
      </c>
      <c r="H11" s="742"/>
      <c r="I11" s="516"/>
      <c r="J11" s="419" t="s">
        <v>289</v>
      </c>
      <c r="K11" s="516"/>
      <c r="L11" s="742" t="s">
        <v>284</v>
      </c>
      <c r="M11" s="742"/>
      <c r="O11" s="419" t="s">
        <v>248</v>
      </c>
      <c r="P11" s="366"/>
      <c r="R11" s="517" t="s">
        <v>343</v>
      </c>
      <c r="S11" s="517" t="s">
        <v>282</v>
      </c>
      <c r="T11" s="517" t="s">
        <v>285</v>
      </c>
      <c r="U11" s="517" t="s">
        <v>352</v>
      </c>
    </row>
    <row r="12" spans="1:24" ht="15" customHeight="1" x14ac:dyDescent="0.2">
      <c r="A12" s="376"/>
      <c r="B12" s="365"/>
      <c r="C12" s="289">
        <v>1</v>
      </c>
      <c r="D12" s="290" t="str">
        <f>VLOOKUP($A$5,grandprix,29,0)</f>
        <v>C. Leclerc</v>
      </c>
      <c r="E12" s="290">
        <f>VLOOKUP($A$5,grandprix,30,0)</f>
        <v>0</v>
      </c>
      <c r="F12" s="290" t="str">
        <f t="shared" ref="F12:F31" si="0">IF(D12="…"," ",VLOOKUP(D12,rijder,2,0))</f>
        <v>Ferrari</v>
      </c>
      <c r="G12" s="744">
        <f>VLOOKUP($A$5,grandprix,33,0)</f>
        <v>5.2391956018518517E-2</v>
      </c>
      <c r="H12" s="744"/>
      <c r="I12" s="366"/>
      <c r="J12" s="499">
        <f>IF(D12="…"," ",VLOOKUP($A$5,grandprix,32,0))</f>
        <v>1</v>
      </c>
      <c r="K12" s="366"/>
      <c r="L12" s="294">
        <f>IF(D12="…"," ",J12-C12)</f>
        <v>0</v>
      </c>
      <c r="M12" s="295" t="str">
        <f>IF(D12="…"," ",VLOOKUP(V12,$W$12:$X$14,2,0))</f>
        <v>¬</v>
      </c>
      <c r="O12" s="572">
        <v>25</v>
      </c>
      <c r="P12" s="366"/>
      <c r="R12" s="517" t="b">
        <f>IF(G12="dnq",TRUE)</f>
        <v>0</v>
      </c>
      <c r="S12" s="517" t="b">
        <f>IF(G12="dnf",TRUE)</f>
        <v>0</v>
      </c>
      <c r="T12" s="517" t="b">
        <f t="shared" ref="T12:T31" si="1">IF(G12="dsq",TRUE)</f>
        <v>0</v>
      </c>
      <c r="U12" s="517" t="b">
        <f>IF(G12="dns",TRUE)</f>
        <v>0</v>
      </c>
      <c r="V12" s="361">
        <f>IF(J12=C12,1)+IF(J12&gt;C12,2)+IF(J12&lt;C12,3)</f>
        <v>1</v>
      </c>
      <c r="W12" s="518">
        <v>1</v>
      </c>
      <c r="X12" s="518" t="s">
        <v>286</v>
      </c>
    </row>
    <row r="13" spans="1:24" ht="15" customHeight="1" x14ac:dyDescent="0.2">
      <c r="A13" s="376"/>
      <c r="B13" s="512"/>
      <c r="C13" s="289">
        <v>2</v>
      </c>
      <c r="D13" s="290" t="str">
        <f>VLOOKUP($A$5,grandprix,34,0)</f>
        <v>V. Bottas</v>
      </c>
      <c r="E13" s="290">
        <f>VLOOKUP($A$5,grandprix,35,0)</f>
        <v>0</v>
      </c>
      <c r="F13" s="290" t="str">
        <f t="shared" si="0"/>
        <v>Mercedes</v>
      </c>
      <c r="G13" s="745" t="str">
        <f>VLOOKUP($A$5,grandprix,38,0)</f>
        <v>+0,8</v>
      </c>
      <c r="H13" s="745"/>
      <c r="I13" s="366"/>
      <c r="J13" s="499">
        <f>IF(D13="…"," ",VLOOKUP($A$5,grandprix,37,0))</f>
        <v>3</v>
      </c>
      <c r="K13" s="366"/>
      <c r="L13" s="294">
        <f t="shared" ref="L13:L31" si="2">IF(D13="…"," ",J13-C13)</f>
        <v>1</v>
      </c>
      <c r="M13" s="295" t="str">
        <f t="shared" ref="M13:M31" si="3">IF(D13="…"," ",VLOOKUP(V13,$W$12:$X$14,2,0))</f>
        <v>p</v>
      </c>
      <c r="O13" s="572">
        <v>18</v>
      </c>
      <c r="P13" s="366"/>
      <c r="R13" s="517" t="b">
        <f t="shared" ref="R13:R31" si="4">IF(G13="dnq",TRUE)</f>
        <v>0</v>
      </c>
      <c r="S13" s="517" t="b">
        <f t="shared" ref="S13:S31" si="5">IF(G13="dnf",TRUE)</f>
        <v>0</v>
      </c>
      <c r="T13" s="517" t="b">
        <f t="shared" si="1"/>
        <v>0</v>
      </c>
      <c r="U13" s="517" t="b">
        <f t="shared" ref="U13:U31" si="6">IF(G13="dns",TRUE)</f>
        <v>0</v>
      </c>
      <c r="V13" s="361">
        <f t="shared" ref="V13:V31" si="7">IF(J13=C13,1)+IF(J13&gt;C13,2)+IF(J13&lt;C13,3)</f>
        <v>2</v>
      </c>
      <c r="W13" s="518">
        <v>2</v>
      </c>
      <c r="X13" s="518" t="s">
        <v>287</v>
      </c>
    </row>
    <row r="14" spans="1:24" ht="15" customHeight="1" x14ac:dyDescent="0.2">
      <c r="A14" s="376"/>
      <c r="B14" s="512"/>
      <c r="C14" s="289">
        <v>3</v>
      </c>
      <c r="D14" s="290" t="str">
        <f>VLOOKUP($A$5,grandprix,39,0)</f>
        <v>L. Hamilton</v>
      </c>
      <c r="E14" s="290">
        <f>VLOOKUP($A$5,grandprix,40,0)</f>
        <v>0</v>
      </c>
      <c r="F14" s="290" t="str">
        <f t="shared" si="0"/>
        <v>Mercedes</v>
      </c>
      <c r="G14" s="745" t="str">
        <f>VLOOKUP($A$5,grandprix,43,0)</f>
        <v>+35,1</v>
      </c>
      <c r="H14" s="745"/>
      <c r="I14" s="366"/>
      <c r="J14" s="499">
        <f>IF(D14="…"," ",VLOOKUP($A$5,grandprix,42,0))</f>
        <v>2</v>
      </c>
      <c r="K14" s="366"/>
      <c r="L14" s="294">
        <f t="shared" si="2"/>
        <v>-1</v>
      </c>
      <c r="M14" s="295" t="str">
        <f t="shared" si="3"/>
        <v>q</v>
      </c>
      <c r="O14" s="572">
        <v>15</v>
      </c>
      <c r="P14" s="366"/>
      <c r="R14" s="517" t="b">
        <f t="shared" si="4"/>
        <v>0</v>
      </c>
      <c r="S14" s="517" t="b">
        <f t="shared" si="5"/>
        <v>0</v>
      </c>
      <c r="T14" s="517" t="b">
        <f t="shared" si="1"/>
        <v>0</v>
      </c>
      <c r="U14" s="517" t="b">
        <f t="shared" si="6"/>
        <v>0</v>
      </c>
      <c r="V14" s="361">
        <f t="shared" si="7"/>
        <v>3</v>
      </c>
      <c r="W14" s="518">
        <v>3</v>
      </c>
      <c r="X14" s="518" t="s">
        <v>288</v>
      </c>
    </row>
    <row r="15" spans="1:24" ht="15" customHeight="1" x14ac:dyDescent="0.2">
      <c r="A15" s="376"/>
      <c r="B15" s="365"/>
      <c r="C15" s="289">
        <v>4</v>
      </c>
      <c r="D15" s="290" t="str">
        <f>VLOOKUP($A$5,grandprix,44,0)</f>
        <v>D. Ricciardo</v>
      </c>
      <c r="E15" s="290">
        <f>VLOOKUP($A$5,grandprix,45,0)</f>
        <v>0</v>
      </c>
      <c r="F15" s="290" t="str">
        <f t="shared" si="0"/>
        <v>Renault</v>
      </c>
      <c r="G15" s="745" t="str">
        <f>VLOOKUP($A$5,grandprix,48,0)</f>
        <v>+45,5</v>
      </c>
      <c r="H15" s="745"/>
      <c r="I15" s="366"/>
      <c r="J15" s="499">
        <f>IF(D15="…"," ",VLOOKUP($A$5,grandprix,47,0))</f>
        <v>5</v>
      </c>
      <c r="K15" s="366"/>
      <c r="L15" s="294">
        <f t="shared" si="2"/>
        <v>1</v>
      </c>
      <c r="M15" s="295" t="str">
        <f t="shared" si="3"/>
        <v>p</v>
      </c>
      <c r="O15" s="572">
        <v>12</v>
      </c>
      <c r="P15" s="366"/>
      <c r="R15" s="517" t="b">
        <f t="shared" si="4"/>
        <v>0</v>
      </c>
      <c r="S15" s="517" t="b">
        <f t="shared" si="5"/>
        <v>0</v>
      </c>
      <c r="T15" s="517" t="b">
        <f t="shared" si="1"/>
        <v>0</v>
      </c>
      <c r="U15" s="517" t="b">
        <f t="shared" si="6"/>
        <v>0</v>
      </c>
      <c r="V15" s="361">
        <f t="shared" si="7"/>
        <v>2</v>
      </c>
    </row>
    <row r="16" spans="1:24" ht="15" customHeight="1" x14ac:dyDescent="0.2">
      <c r="A16" s="376"/>
      <c r="B16" s="365"/>
      <c r="C16" s="289">
        <v>5</v>
      </c>
      <c r="D16" s="290" t="str">
        <f>VLOOKUP($A$5,grandprix,49,0)</f>
        <v>N. Hulkenberg</v>
      </c>
      <c r="E16" s="290">
        <f>VLOOKUP($A$5,grandprix,50,0)</f>
        <v>0</v>
      </c>
      <c r="F16" s="290" t="str">
        <f t="shared" si="0"/>
        <v>Renault</v>
      </c>
      <c r="G16" s="745" t="str">
        <f>VLOOKUP($A$5,grandprix,53,0)</f>
        <v>+58,1</v>
      </c>
      <c r="H16" s="745"/>
      <c r="I16" s="366"/>
      <c r="J16" s="499">
        <f>IF(D16="…"," ",VLOOKUP($A$5,grandprix,52,0))</f>
        <v>6</v>
      </c>
      <c r="K16" s="366"/>
      <c r="L16" s="294">
        <f t="shared" si="2"/>
        <v>1</v>
      </c>
      <c r="M16" s="295" t="str">
        <f t="shared" si="3"/>
        <v>p</v>
      </c>
      <c r="O16" s="572">
        <v>10</v>
      </c>
      <c r="P16" s="366"/>
      <c r="R16" s="517" t="b">
        <f t="shared" si="4"/>
        <v>0</v>
      </c>
      <c r="S16" s="517" t="b">
        <f t="shared" si="5"/>
        <v>0</v>
      </c>
      <c r="T16" s="517" t="b">
        <f t="shared" si="1"/>
        <v>0</v>
      </c>
      <c r="U16" s="517" t="b">
        <f t="shared" si="6"/>
        <v>0</v>
      </c>
      <c r="V16" s="361">
        <f t="shared" si="7"/>
        <v>2</v>
      </c>
    </row>
    <row r="17" spans="1:22" ht="15" customHeight="1" x14ac:dyDescent="0.2">
      <c r="A17" s="376"/>
      <c r="B17" s="365"/>
      <c r="C17" s="289">
        <v>6</v>
      </c>
      <c r="D17" s="290" t="str">
        <f>VLOOKUP($A$5,grandprix,54,0)</f>
        <v>A. Albon¹</v>
      </c>
      <c r="E17" s="290">
        <f>VLOOKUP($A$5,grandprix,55,0)</f>
        <v>0</v>
      </c>
      <c r="F17" s="290" t="str">
        <f t="shared" si="0"/>
        <v>Red Bull</v>
      </c>
      <c r="G17" s="745" t="str">
        <f>VLOOKUP($A$5,grandprix,58,0)</f>
        <v>+59,3</v>
      </c>
      <c r="H17" s="745"/>
      <c r="I17" s="366"/>
      <c r="J17" s="499">
        <f>IF(D17="…"," ",VLOOKUP($A$5,grandprix,57,0))</f>
        <v>8</v>
      </c>
      <c r="K17" s="366"/>
      <c r="L17" s="294">
        <f t="shared" si="2"/>
        <v>2</v>
      </c>
      <c r="M17" s="295" t="str">
        <f t="shared" si="3"/>
        <v>p</v>
      </c>
      <c r="O17" s="572">
        <v>8</v>
      </c>
      <c r="P17" s="366"/>
      <c r="R17" s="517" t="b">
        <f t="shared" si="4"/>
        <v>0</v>
      </c>
      <c r="S17" s="517" t="b">
        <f t="shared" si="5"/>
        <v>0</v>
      </c>
      <c r="T17" s="517" t="b">
        <f t="shared" si="1"/>
        <v>0</v>
      </c>
      <c r="U17" s="517" t="b">
        <f t="shared" si="6"/>
        <v>0</v>
      </c>
      <c r="V17" s="361">
        <f t="shared" si="7"/>
        <v>2</v>
      </c>
    </row>
    <row r="18" spans="1:22" ht="15" customHeight="1" x14ac:dyDescent="0.2">
      <c r="A18" s="376"/>
      <c r="B18" s="365"/>
      <c r="C18" s="289">
        <v>7</v>
      </c>
      <c r="D18" s="290" t="str">
        <f>VLOOKUP($A$5,grandprix,59,0)</f>
        <v>S. Pérez</v>
      </c>
      <c r="E18" s="290">
        <f>VLOOKUP($A$5,grandprix,60,0)</f>
        <v>0</v>
      </c>
      <c r="F18" s="290" t="str">
        <f t="shared" si="0"/>
        <v>Racing Point</v>
      </c>
      <c r="G18" s="745" t="str">
        <f>VLOOKUP($A$5,grandprix,63,0)</f>
        <v>+73,8</v>
      </c>
      <c r="H18" s="745"/>
      <c r="I18" s="366"/>
      <c r="J18" s="499">
        <f>IF(D18="…"," ",VLOOKUP($A$5,grandprix,62,0))</f>
        <v>18</v>
      </c>
      <c r="K18" s="366"/>
      <c r="L18" s="294">
        <f t="shared" si="2"/>
        <v>11</v>
      </c>
      <c r="M18" s="295" t="str">
        <f t="shared" si="3"/>
        <v>p</v>
      </c>
      <c r="O18" s="572">
        <v>6</v>
      </c>
      <c r="P18" s="366"/>
      <c r="R18" s="517" t="b">
        <f t="shared" si="4"/>
        <v>0</v>
      </c>
      <c r="S18" s="517" t="b">
        <f t="shared" si="5"/>
        <v>0</v>
      </c>
      <c r="T18" s="517" t="b">
        <f t="shared" si="1"/>
        <v>0</v>
      </c>
      <c r="U18" s="517" t="b">
        <f t="shared" si="6"/>
        <v>0</v>
      </c>
      <c r="V18" s="361">
        <f t="shared" si="7"/>
        <v>2</v>
      </c>
    </row>
    <row r="19" spans="1:22" ht="15" customHeight="1" x14ac:dyDescent="0.2">
      <c r="A19" s="376"/>
      <c r="B19" s="365"/>
      <c r="C19" s="289">
        <v>8</v>
      </c>
      <c r="D19" s="290" t="str">
        <f>VLOOKUP($A$5,grandprix,64,0)</f>
        <v>M. Verstappen</v>
      </c>
      <c r="E19" s="290">
        <f>VLOOKUP($A$5,grandprix,65,0)</f>
        <v>0</v>
      </c>
      <c r="F19" s="290" t="str">
        <f t="shared" si="0"/>
        <v>Red Bull</v>
      </c>
      <c r="G19" s="745" t="str">
        <f>VLOOKUP($A$5,grandprix,68,0)</f>
        <v>+74,4</v>
      </c>
      <c r="H19" s="745"/>
      <c r="I19" s="366"/>
      <c r="J19" s="499">
        <f>IF(D19="…"," ",VLOOKUP($A$5,grandprix,67,0))</f>
        <v>19</v>
      </c>
      <c r="K19" s="366"/>
      <c r="L19" s="294">
        <f t="shared" si="2"/>
        <v>11</v>
      </c>
      <c r="M19" s="295" t="str">
        <f t="shared" si="3"/>
        <v>p</v>
      </c>
      <c r="O19" s="572">
        <v>4</v>
      </c>
      <c r="P19" s="366"/>
      <c r="R19" s="517" t="b">
        <f t="shared" si="4"/>
        <v>0</v>
      </c>
      <c r="S19" s="517" t="b">
        <f t="shared" si="5"/>
        <v>0</v>
      </c>
      <c r="T19" s="517" t="b">
        <f t="shared" si="1"/>
        <v>0</v>
      </c>
      <c r="U19" s="517" t="b">
        <f t="shared" si="6"/>
        <v>0</v>
      </c>
      <c r="V19" s="361">
        <f t="shared" si="7"/>
        <v>2</v>
      </c>
    </row>
    <row r="20" spans="1:22" ht="15" customHeight="1" x14ac:dyDescent="0.2">
      <c r="A20" s="376"/>
      <c r="B20" s="365"/>
      <c r="C20" s="289">
        <v>9</v>
      </c>
      <c r="D20" s="290" t="str">
        <f>VLOOKUP($A$5,grandprix,69,0)</f>
        <v>A. Giovinazzi</v>
      </c>
      <c r="E20" s="290">
        <f>VLOOKUP($A$5,grandprix,70,0)</f>
        <v>0</v>
      </c>
      <c r="F20" s="290" t="str">
        <f t="shared" si="0"/>
        <v>Alfa Romeo</v>
      </c>
      <c r="G20" s="745" t="str">
        <f>VLOOKUP($A$5,grandprix,73,0)</f>
        <v>+ 1 r.</v>
      </c>
      <c r="H20" s="745"/>
      <c r="I20" s="366"/>
      <c r="J20" s="499">
        <f>IF(D20="…"," ",VLOOKUP($A$5,grandprix,72,0))</f>
        <v>10</v>
      </c>
      <c r="K20" s="366"/>
      <c r="L20" s="294">
        <f t="shared" si="2"/>
        <v>1</v>
      </c>
      <c r="M20" s="295" t="str">
        <f t="shared" si="3"/>
        <v>p</v>
      </c>
      <c r="N20" s="366"/>
      <c r="O20" s="572">
        <v>2</v>
      </c>
      <c r="P20" s="366"/>
      <c r="R20" s="517" t="b">
        <f t="shared" si="4"/>
        <v>0</v>
      </c>
      <c r="S20" s="517" t="b">
        <f t="shared" si="5"/>
        <v>0</v>
      </c>
      <c r="T20" s="517" t="b">
        <f t="shared" si="1"/>
        <v>0</v>
      </c>
      <c r="U20" s="517" t="b">
        <f t="shared" si="6"/>
        <v>0</v>
      </c>
      <c r="V20" s="361">
        <f t="shared" si="7"/>
        <v>2</v>
      </c>
    </row>
    <row r="21" spans="1:22" ht="15" customHeight="1" x14ac:dyDescent="0.2">
      <c r="A21" s="376"/>
      <c r="B21" s="366"/>
      <c r="C21" s="289">
        <v>10</v>
      </c>
      <c r="D21" s="290" t="str">
        <f>VLOOKUP($A$5,grandprix,74,0)</f>
        <v>L. Norris</v>
      </c>
      <c r="E21" s="290">
        <f>VLOOKUP($A$5,grandprix,75,0)</f>
        <v>0</v>
      </c>
      <c r="F21" s="290" t="str">
        <f t="shared" si="0"/>
        <v>McLaren</v>
      </c>
      <c r="G21" s="745" t="str">
        <f>VLOOKUP($A$5,grandprix,78,0)</f>
        <v>+ 1 r.</v>
      </c>
      <c r="H21" s="745"/>
      <c r="I21" s="366"/>
      <c r="J21" s="499">
        <f>IF(D21="…"," ",VLOOKUP($A$5,grandprix,77,0))</f>
        <v>16</v>
      </c>
      <c r="K21" s="366"/>
      <c r="L21" s="294">
        <f t="shared" si="2"/>
        <v>6</v>
      </c>
      <c r="M21" s="295" t="str">
        <f t="shared" si="3"/>
        <v>p</v>
      </c>
      <c r="N21" s="366"/>
      <c r="O21" s="572">
        <v>1</v>
      </c>
      <c r="P21" s="366"/>
      <c r="R21" s="517" t="b">
        <f t="shared" si="4"/>
        <v>0</v>
      </c>
      <c r="S21" s="517" t="b">
        <f t="shared" si="5"/>
        <v>0</v>
      </c>
      <c r="T21" s="517" t="b">
        <f t="shared" si="1"/>
        <v>0</v>
      </c>
      <c r="U21" s="517" t="b">
        <f t="shared" si="6"/>
        <v>0</v>
      </c>
      <c r="V21" s="361">
        <f t="shared" si="7"/>
        <v>2</v>
      </c>
    </row>
    <row r="22" spans="1:22" ht="15" customHeight="1" x14ac:dyDescent="0.2">
      <c r="A22" s="376"/>
      <c r="B22" s="366"/>
      <c r="C22" s="289">
        <v>11</v>
      </c>
      <c r="D22" s="290" t="str">
        <f>VLOOKUP($A$5,grandprix,79,0)</f>
        <v>P. Gasly¹</v>
      </c>
      <c r="E22" s="290">
        <f>VLOOKUP($A$5,grandprix,80,0)</f>
        <v>0</v>
      </c>
      <c r="F22" s="290" t="str">
        <f t="shared" si="0"/>
        <v>Toro Rosso</v>
      </c>
      <c r="G22" s="745" t="str">
        <f>VLOOKUP($A$5,grandprix,83,0)</f>
        <v>+ 1 r.</v>
      </c>
      <c r="H22" s="745"/>
      <c r="I22" s="366"/>
      <c r="J22" s="499">
        <f>IF(D22="…"," ",VLOOKUP($A$5,grandprix,82,0))</f>
        <v>17</v>
      </c>
      <c r="K22" s="366"/>
      <c r="L22" s="294">
        <f t="shared" si="2"/>
        <v>6</v>
      </c>
      <c r="M22" s="295" t="str">
        <f t="shared" si="3"/>
        <v>p</v>
      </c>
      <c r="N22" s="366"/>
      <c r="O22" s="366"/>
      <c r="P22" s="366"/>
      <c r="R22" s="517" t="b">
        <f t="shared" si="4"/>
        <v>0</v>
      </c>
      <c r="S22" s="517" t="b">
        <f t="shared" si="5"/>
        <v>0</v>
      </c>
      <c r="T22" s="517" t="b">
        <f t="shared" si="1"/>
        <v>0</v>
      </c>
      <c r="U22" s="517" t="b">
        <f t="shared" si="6"/>
        <v>0</v>
      </c>
      <c r="V22" s="361">
        <f t="shared" si="7"/>
        <v>2</v>
      </c>
    </row>
    <row r="23" spans="1:22" ht="15" customHeight="1" x14ac:dyDescent="0.2">
      <c r="A23" s="376"/>
      <c r="B23" s="366"/>
      <c r="C23" s="289">
        <v>12</v>
      </c>
      <c r="D23" s="290" t="str">
        <f>VLOOKUP($A$5,grandprix,84,0)</f>
        <v>L. Stroll</v>
      </c>
      <c r="E23" s="290">
        <f>VLOOKUP($A$5,grandprix,85,0)</f>
        <v>0</v>
      </c>
      <c r="F23" s="290" t="str">
        <f t="shared" si="0"/>
        <v>Racing Point</v>
      </c>
      <c r="G23" s="745" t="str">
        <f>VLOOKUP($A$5,grandprix,88,0)</f>
        <v>+ 1 r.</v>
      </c>
      <c r="H23" s="745"/>
      <c r="I23" s="366"/>
      <c r="J23" s="499">
        <f>IF(D23="…"," ",VLOOKUP($A$5,grandprix,87,0))</f>
        <v>9</v>
      </c>
      <c r="K23" s="366"/>
      <c r="L23" s="294">
        <f t="shared" si="2"/>
        <v>-3</v>
      </c>
      <c r="M23" s="295" t="str">
        <f t="shared" si="3"/>
        <v>q</v>
      </c>
      <c r="N23" s="366"/>
      <c r="O23" s="366"/>
      <c r="P23" s="366"/>
      <c r="R23" s="517" t="b">
        <f t="shared" si="4"/>
        <v>0</v>
      </c>
      <c r="S23" s="517" t="b">
        <f t="shared" si="5"/>
        <v>0</v>
      </c>
      <c r="T23" s="517" t="b">
        <f t="shared" si="1"/>
        <v>0</v>
      </c>
      <c r="U23" s="517" t="b">
        <f t="shared" si="6"/>
        <v>0</v>
      </c>
      <c r="V23" s="361">
        <f t="shared" si="7"/>
        <v>3</v>
      </c>
    </row>
    <row r="24" spans="1:22" ht="15" customHeight="1" x14ac:dyDescent="0.2">
      <c r="A24" s="376"/>
      <c r="B24" s="366"/>
      <c r="C24" s="289">
        <v>13</v>
      </c>
      <c r="D24" s="290" t="str">
        <f>VLOOKUP($A$5,grandprix,89,0)</f>
        <v>S. Vettel</v>
      </c>
      <c r="E24" s="290">
        <f>VLOOKUP($A$5,grandprix,90,0)</f>
        <v>0</v>
      </c>
      <c r="F24" s="290" t="str">
        <f t="shared" si="0"/>
        <v>Ferrari</v>
      </c>
      <c r="G24" s="745" t="str">
        <f>VLOOKUP($A$5,grandprix,93,0)</f>
        <v>+ 1 r.</v>
      </c>
      <c r="H24" s="745"/>
      <c r="I24" s="366"/>
      <c r="J24" s="499">
        <f>IF(D24="…"," ",VLOOKUP($A$5,grandprix,92,0))</f>
        <v>4</v>
      </c>
      <c r="K24" s="366"/>
      <c r="L24" s="294">
        <f t="shared" si="2"/>
        <v>-9</v>
      </c>
      <c r="M24" s="295" t="str">
        <f t="shared" si="3"/>
        <v>q</v>
      </c>
      <c r="N24" s="366"/>
      <c r="O24" s="366"/>
      <c r="P24" s="366"/>
      <c r="R24" s="517" t="b">
        <f t="shared" si="4"/>
        <v>0</v>
      </c>
      <c r="S24" s="517" t="b">
        <f t="shared" si="5"/>
        <v>0</v>
      </c>
      <c r="T24" s="517" t="b">
        <f t="shared" si="1"/>
        <v>0</v>
      </c>
      <c r="U24" s="517" t="b">
        <f t="shared" si="6"/>
        <v>0</v>
      </c>
      <c r="V24" s="361">
        <f t="shared" si="7"/>
        <v>3</v>
      </c>
    </row>
    <row r="25" spans="1:22" ht="15" customHeight="1" x14ac:dyDescent="0.2">
      <c r="A25" s="376"/>
      <c r="B25" s="366"/>
      <c r="C25" s="289">
        <v>14</v>
      </c>
      <c r="D25" s="290" t="str">
        <f>VLOOKUP($A$5,grandprix,94,0)</f>
        <v>G. Russell</v>
      </c>
      <c r="E25" s="290">
        <f>VLOOKUP($A$5,grandprix,95,0)</f>
        <v>0</v>
      </c>
      <c r="F25" s="290" t="str">
        <f t="shared" si="0"/>
        <v>Williams</v>
      </c>
      <c r="G25" s="745" t="str">
        <f>VLOOKUP($A$5,grandprix,98,0)</f>
        <v>+ 1 r.</v>
      </c>
      <c r="H25" s="745"/>
      <c r="I25" s="366"/>
      <c r="J25" s="499">
        <f>IF(D25="…"," ",VLOOKUP($A$5,grandprix,97,0))</f>
        <v>14</v>
      </c>
      <c r="K25" s="366"/>
      <c r="L25" s="294">
        <f t="shared" si="2"/>
        <v>0</v>
      </c>
      <c r="M25" s="295" t="str">
        <f t="shared" si="3"/>
        <v>¬</v>
      </c>
      <c r="N25" s="366"/>
      <c r="O25" s="366"/>
      <c r="P25" s="366"/>
      <c r="R25" s="517" t="b">
        <f t="shared" si="4"/>
        <v>0</v>
      </c>
      <c r="S25" s="517" t="b">
        <f t="shared" si="5"/>
        <v>0</v>
      </c>
      <c r="T25" s="517" t="b">
        <f t="shared" si="1"/>
        <v>0</v>
      </c>
      <c r="U25" s="517" t="b">
        <f t="shared" si="6"/>
        <v>0</v>
      </c>
      <c r="V25" s="361">
        <f t="shared" si="7"/>
        <v>1</v>
      </c>
    </row>
    <row r="26" spans="1:22" ht="15" customHeight="1" x14ac:dyDescent="0.2">
      <c r="A26" s="376"/>
      <c r="C26" s="289">
        <v>15</v>
      </c>
      <c r="D26" s="290" t="str">
        <f>VLOOKUP($A$5,grandprix,99,0)</f>
        <v>K. Raïkkönen</v>
      </c>
      <c r="E26" s="290">
        <f>VLOOKUP($A$5,grandprix,100,0)</f>
        <v>0</v>
      </c>
      <c r="F26" s="290" t="str">
        <f t="shared" si="0"/>
        <v>Alfa Romeo</v>
      </c>
      <c r="G26" s="745" t="str">
        <f>VLOOKUP($A$5,grandprix,103,0)</f>
        <v>+ 1 r.</v>
      </c>
      <c r="H26" s="745"/>
      <c r="I26" s="366"/>
      <c r="J26" s="499">
        <f>IF(D26="…"," ",VLOOKUP($A$5,grandprix,102,0))</f>
        <v>20</v>
      </c>
      <c r="K26" s="366"/>
      <c r="L26" s="294">
        <f t="shared" si="2"/>
        <v>5</v>
      </c>
      <c r="M26" s="295" t="str">
        <f t="shared" si="3"/>
        <v>p</v>
      </c>
      <c r="N26" s="366"/>
      <c r="R26" s="517" t="b">
        <f t="shared" si="4"/>
        <v>0</v>
      </c>
      <c r="S26" s="517" t="b">
        <f t="shared" si="5"/>
        <v>0</v>
      </c>
      <c r="T26" s="517" t="b">
        <f t="shared" si="1"/>
        <v>0</v>
      </c>
      <c r="U26" s="517" t="b">
        <f t="shared" si="6"/>
        <v>0</v>
      </c>
      <c r="V26" s="361">
        <f t="shared" si="7"/>
        <v>2</v>
      </c>
    </row>
    <row r="27" spans="1:22" ht="15" customHeight="1" x14ac:dyDescent="0.2">
      <c r="A27" s="376"/>
      <c r="C27" s="289">
        <v>16</v>
      </c>
      <c r="D27" s="290" t="str">
        <f>VLOOKUP($A$5,grandprix,104,0)</f>
        <v>R. Grosjean</v>
      </c>
      <c r="E27" s="290">
        <f>VLOOKUP($A$5,grandprix,105,0)</f>
        <v>0</v>
      </c>
      <c r="F27" s="290" t="str">
        <f t="shared" si="0"/>
        <v>Haas</v>
      </c>
      <c r="G27" s="745" t="str">
        <f>VLOOKUP($A$5,grandprix,108,0)</f>
        <v>+ 1 r.</v>
      </c>
      <c r="H27" s="745"/>
      <c r="I27" s="366"/>
      <c r="J27" s="499">
        <f>IF(D27="…"," ",VLOOKUP($A$5,grandprix,107,0))</f>
        <v>13</v>
      </c>
      <c r="K27" s="366"/>
      <c r="L27" s="294">
        <f t="shared" si="2"/>
        <v>-3</v>
      </c>
      <c r="M27" s="295" t="str">
        <f t="shared" si="3"/>
        <v>q</v>
      </c>
      <c r="R27" s="517" t="b">
        <f t="shared" si="4"/>
        <v>0</v>
      </c>
      <c r="S27" s="517" t="b">
        <f t="shared" si="5"/>
        <v>0</v>
      </c>
      <c r="T27" s="517" t="b">
        <f t="shared" si="1"/>
        <v>0</v>
      </c>
      <c r="U27" s="517" t="b">
        <f t="shared" si="6"/>
        <v>0</v>
      </c>
      <c r="V27" s="361">
        <f t="shared" si="7"/>
        <v>3</v>
      </c>
    </row>
    <row r="28" spans="1:22" ht="15" customHeight="1" x14ac:dyDescent="0.2">
      <c r="A28" s="376"/>
      <c r="C28" s="289">
        <v>17</v>
      </c>
      <c r="D28" s="290" t="str">
        <f>VLOOKUP($A$5,grandprix,109,0)</f>
        <v>R. Kubica</v>
      </c>
      <c r="E28" s="290">
        <f>VLOOKUP($A$5,grandprix,110,0)</f>
        <v>0</v>
      </c>
      <c r="F28" s="290" t="str">
        <f t="shared" si="0"/>
        <v>Williams</v>
      </c>
      <c r="G28" s="745" t="str">
        <f>VLOOKUP($A$5,grandprix,113,0)</f>
        <v>+ 2 r.</v>
      </c>
      <c r="H28" s="745"/>
      <c r="I28" s="366"/>
      <c r="J28" s="499">
        <f>IF(D28="…"," ",VLOOKUP($A$5,grandprix,112,0))</f>
        <v>15</v>
      </c>
      <c r="K28" s="366"/>
      <c r="L28" s="294">
        <f t="shared" si="2"/>
        <v>-2</v>
      </c>
      <c r="M28" s="295" t="str">
        <f t="shared" si="3"/>
        <v>q</v>
      </c>
      <c r="R28" s="517" t="b">
        <f t="shared" si="4"/>
        <v>0</v>
      </c>
      <c r="S28" s="517" t="b">
        <f t="shared" si="5"/>
        <v>0</v>
      </c>
      <c r="T28" s="517" t="b">
        <f t="shared" si="1"/>
        <v>0</v>
      </c>
      <c r="U28" s="517" t="b">
        <f t="shared" si="6"/>
        <v>0</v>
      </c>
      <c r="V28" s="361">
        <f t="shared" si="7"/>
        <v>3</v>
      </c>
    </row>
    <row r="29" spans="1:22" ht="15" customHeight="1" x14ac:dyDescent="0.2">
      <c r="A29" s="376"/>
      <c r="C29" s="289">
        <v>18</v>
      </c>
      <c r="D29" s="290" t="str">
        <f>VLOOKUP($A$5,grandprix,114,0)</f>
        <v>K. Magnussen</v>
      </c>
      <c r="E29" s="290">
        <f>VLOOKUP($A$5,grandprix,115,0)</f>
        <v>0</v>
      </c>
      <c r="F29" s="290" t="str">
        <f t="shared" si="0"/>
        <v>Haas</v>
      </c>
      <c r="G29" s="745" t="str">
        <f>VLOOKUP($A$5,grandprix,118,0)</f>
        <v>dnf</v>
      </c>
      <c r="H29" s="745"/>
      <c r="I29" s="366"/>
      <c r="J29" s="499">
        <f>IF(D29="…"," ",VLOOKUP($A$5,grandprix,117,0))</f>
        <v>11</v>
      </c>
      <c r="K29" s="366"/>
      <c r="L29" s="294">
        <f t="shared" si="2"/>
        <v>-7</v>
      </c>
      <c r="M29" s="295" t="str">
        <f t="shared" si="3"/>
        <v>q</v>
      </c>
      <c r="R29" s="517" t="b">
        <f t="shared" si="4"/>
        <v>0</v>
      </c>
      <c r="S29" s="517" t="b">
        <f t="shared" si="5"/>
        <v>1</v>
      </c>
      <c r="T29" s="517" t="b">
        <f t="shared" si="1"/>
        <v>0</v>
      </c>
      <c r="U29" s="517" t="b">
        <f t="shared" si="6"/>
        <v>0</v>
      </c>
      <c r="V29" s="361">
        <f t="shared" si="7"/>
        <v>3</v>
      </c>
    </row>
    <row r="30" spans="1:22" ht="15" customHeight="1" x14ac:dyDescent="0.2">
      <c r="A30" s="376"/>
      <c r="C30" s="289">
        <v>19</v>
      </c>
      <c r="D30" s="290" t="str">
        <f>VLOOKUP($A$5,grandprix,119,0)</f>
        <v>D. Kvyat</v>
      </c>
      <c r="E30" s="290">
        <f>VLOOKUP($A$5,grandprix,120,0)</f>
        <v>0</v>
      </c>
      <c r="F30" s="290" t="str">
        <f t="shared" si="0"/>
        <v>Toro Rosso</v>
      </c>
      <c r="G30" s="745" t="str">
        <f>VLOOKUP($A$5,grandprix,123,0)</f>
        <v>dnf</v>
      </c>
      <c r="H30" s="745"/>
      <c r="I30" s="366"/>
      <c r="J30" s="499">
        <f>IF(D30="…"," ",VLOOKUP($A$5,grandprix,122,0))</f>
        <v>12</v>
      </c>
      <c r="K30" s="366"/>
      <c r="L30" s="294">
        <f t="shared" si="2"/>
        <v>-7</v>
      </c>
      <c r="M30" s="295" t="str">
        <f t="shared" si="3"/>
        <v>q</v>
      </c>
      <c r="R30" s="517" t="b">
        <f t="shared" si="4"/>
        <v>0</v>
      </c>
      <c r="S30" s="517" t="b">
        <f t="shared" si="5"/>
        <v>1</v>
      </c>
      <c r="T30" s="517" t="b">
        <f t="shared" si="1"/>
        <v>0</v>
      </c>
      <c r="U30" s="517" t="b">
        <f t="shared" si="6"/>
        <v>0</v>
      </c>
      <c r="V30" s="361">
        <f t="shared" si="7"/>
        <v>3</v>
      </c>
    </row>
    <row r="31" spans="1:22" ht="15" customHeight="1" x14ac:dyDescent="0.2">
      <c r="C31" s="289">
        <v>20</v>
      </c>
      <c r="D31" s="290" t="str">
        <f>VLOOKUP($A$5,grandprix,124,0)</f>
        <v>C. Sainz</v>
      </c>
      <c r="E31" s="290">
        <f>VLOOKUP($A$5,grandprix,125,0)</f>
        <v>0</v>
      </c>
      <c r="F31" s="290" t="str">
        <f t="shared" si="0"/>
        <v>McLaren</v>
      </c>
      <c r="G31" s="745" t="str">
        <f>VLOOKUP($A$5,grandprix,128,0)</f>
        <v>dnf</v>
      </c>
      <c r="H31" s="745"/>
      <c r="I31" s="366"/>
      <c r="J31" s="499">
        <f>IF(D31="…"," ",VLOOKUP($A$5,grandprix,127,0))</f>
        <v>7</v>
      </c>
      <c r="K31" s="366"/>
      <c r="L31" s="294">
        <f t="shared" si="2"/>
        <v>-13</v>
      </c>
      <c r="M31" s="295" t="str">
        <f t="shared" si="3"/>
        <v>q</v>
      </c>
      <c r="R31" s="517" t="b">
        <f t="shared" si="4"/>
        <v>0</v>
      </c>
      <c r="S31" s="517" t="b">
        <f t="shared" si="5"/>
        <v>1</v>
      </c>
      <c r="T31" s="517" t="b">
        <f t="shared" si="1"/>
        <v>0</v>
      </c>
      <c r="U31" s="517" t="b">
        <f t="shared" si="6"/>
        <v>0</v>
      </c>
      <c r="V31" s="361">
        <f t="shared" si="7"/>
        <v>3</v>
      </c>
    </row>
    <row r="32" spans="1:22" ht="9.9499999999999993" customHeight="1" x14ac:dyDescent="0.2">
      <c r="I32" s="366"/>
      <c r="O32" s="582" t="s">
        <v>248</v>
      </c>
    </row>
    <row r="33" spans="1:15" ht="15" customHeight="1" x14ac:dyDescent="0.2">
      <c r="C33" s="289" t="s">
        <v>270</v>
      </c>
      <c r="D33" s="743" t="str">
        <f>VLOOKUP($A$5,grandprix,26,0)</f>
        <v>L. Hamilton</v>
      </c>
      <c r="E33" s="743"/>
      <c r="F33" s="290" t="str">
        <f>IF(D33="…"," ",VLOOKUP(D33,rijder,2,0))</f>
        <v>Mercedes</v>
      </c>
      <c r="G33" s="746">
        <f>IF(D33="…"," ",VLOOKUP($A$5,grandprix,28,0))</f>
        <v>9.4651620370370365E-4</v>
      </c>
      <c r="H33" s="746"/>
      <c r="I33" s="747" t="str">
        <f>IF(D33="…"," ","ronde "&amp;(VLOOKUP($A$5,grandprix,27,0)))</f>
        <v>ronde 51</v>
      </c>
      <c r="J33" s="747"/>
      <c r="K33" s="747"/>
      <c r="L33" s="413"/>
      <c r="M33" s="413"/>
      <c r="O33" s="572">
        <f>VLOOKUP($A$5,grandprix,140,0)</f>
        <v>1</v>
      </c>
    </row>
    <row r="34" spans="1:15" ht="9.9499999999999993" customHeight="1" x14ac:dyDescent="0.2">
      <c r="I34" s="366"/>
    </row>
    <row r="35" spans="1:15" x14ac:dyDescent="0.2">
      <c r="C35" s="289" t="s">
        <v>12</v>
      </c>
      <c r="D35" s="743" t="str">
        <f>VLOOKUP($A$5,grandprix,24,0)</f>
        <v>C. Leclerc</v>
      </c>
      <c r="E35" s="743"/>
      <c r="F35" s="290" t="str">
        <f>IF(D35="…"," ",VLOOKUP(D35,rijder,2,0))</f>
        <v>Ferrari</v>
      </c>
      <c r="G35" s="746">
        <f>IF(D35="…"," ",VLOOKUP($A$5,grandprix,25,0))</f>
        <v>9.1790509259259256E-4</v>
      </c>
      <c r="H35" s="746"/>
      <c r="I35" s="413"/>
      <c r="J35" s="413"/>
    </row>
    <row r="38" spans="1:15" x14ac:dyDescent="0.2">
      <c r="A38" s="492"/>
    </row>
  </sheetData>
  <sheetProtection sheet="1" formatRows="0" insertColumns="0" selectLockedCells="1" selectUnlockedCells="1"/>
  <mergeCells count="28">
    <mergeCell ref="G35:H35"/>
    <mergeCell ref="I33:K33"/>
    <mergeCell ref="G26:H26"/>
    <mergeCell ref="G27:H27"/>
    <mergeCell ref="G28:H28"/>
    <mergeCell ref="G29:H29"/>
    <mergeCell ref="G30:H30"/>
    <mergeCell ref="G23:H23"/>
    <mergeCell ref="G24:H24"/>
    <mergeCell ref="G25:H25"/>
    <mergeCell ref="G33:H33"/>
    <mergeCell ref="G31:H31"/>
    <mergeCell ref="L11:M11"/>
    <mergeCell ref="C9:O9"/>
    <mergeCell ref="D35:E35"/>
    <mergeCell ref="D33:E33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</mergeCells>
  <phoneticPr fontId="2" type="noConversion"/>
  <conditionalFormatting sqref="M12:M31">
    <cfRule type="cellIs" dxfId="50" priority="16" stopIfTrue="1" operator="equal">
      <formula>"p"</formula>
    </cfRule>
    <cfRule type="cellIs" dxfId="49" priority="17" stopIfTrue="1" operator="equal">
      <formula>"q"</formula>
    </cfRule>
  </conditionalFormatting>
  <conditionalFormatting sqref="J12:J31">
    <cfRule type="cellIs" dxfId="48" priority="20" stopIfTrue="1" operator="equal">
      <formula>0</formula>
    </cfRule>
  </conditionalFormatting>
  <conditionalFormatting sqref="G12:G31">
    <cfRule type="cellIs" dxfId="47" priority="14" operator="equal">
      <formula>0</formula>
    </cfRule>
    <cfRule type="expression" dxfId="46" priority="23">
      <formula>IF(T12,TRUE)</formula>
    </cfRule>
  </conditionalFormatting>
  <conditionalFormatting sqref="C12:C31">
    <cfRule type="expression" dxfId="45" priority="15">
      <formula>IF(R12,TRUE)</formula>
    </cfRule>
    <cfRule type="expression" dxfId="44" priority="24">
      <formula>IF(S12,TRUE)</formula>
    </cfRule>
    <cfRule type="expression" dxfId="43" priority="25">
      <formula>IF(T12,TRUE)</formula>
    </cfRule>
    <cfRule type="expression" dxfId="42" priority="26">
      <formula>IF(U12,TRUE)</formula>
    </cfRule>
  </conditionalFormatting>
  <conditionalFormatting sqref="E12:E31">
    <cfRule type="cellIs" dxfId="41" priority="27" operator="equal">
      <formula>0</formula>
    </cfRule>
    <cfRule type="cellIs" dxfId="40" priority="28" operator="equal">
      <formula>"pen"</formula>
    </cfRule>
  </conditionalFormatting>
  <conditionalFormatting sqref="L12:L31">
    <cfRule type="cellIs" dxfId="39" priority="9" operator="greaterThan">
      <formula>0</formula>
    </cfRule>
  </conditionalFormatting>
  <conditionalFormatting sqref="C33">
    <cfRule type="expression" dxfId="38" priority="5">
      <formula>IF(R33,TRUE)</formula>
    </cfRule>
    <cfRule type="expression" dxfId="37" priority="6">
      <formula>IF(S33,TRUE)</formula>
    </cfRule>
    <cfRule type="expression" dxfId="36" priority="7">
      <formula>IF(T33,TRUE)</formula>
    </cfRule>
    <cfRule type="expression" dxfId="35" priority="8">
      <formula>IF(U33,TRUE)</formula>
    </cfRule>
  </conditionalFormatting>
  <conditionalFormatting sqref="C35">
    <cfRule type="expression" dxfId="34" priority="1">
      <formula>IF(R35,TRUE)</formula>
    </cfRule>
    <cfRule type="expression" dxfId="33" priority="2">
      <formula>IF(S35,TRUE)</formula>
    </cfRule>
    <cfRule type="expression" dxfId="32" priority="3">
      <formula>IF(T35,TRUE)</formula>
    </cfRule>
    <cfRule type="expression" dxfId="31" priority="4">
      <formula>IF(U35,TRUE)</formula>
    </cfRule>
  </conditionalFormatting>
  <dataValidations count="1">
    <dataValidation type="whole" allowBlank="1" showInputMessage="1" showErrorMessage="1" sqref="B13:B14 A38 A10 A1 A8" xr:uid="{00000000-0002-0000-0800-000000000000}">
      <formula1>1</formula1>
      <formula2>21</formula2>
    </dataValidation>
  </dataValidations>
  <pageMargins left="0.75" right="0.75" top="1" bottom="1" header="0.5" footer="0.5"/>
  <pageSetup paperSize="9" orientation="portrait" horizontalDpi="4294967293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Blad5"/>
  <dimension ref="A1:V38"/>
  <sheetViews>
    <sheetView showGridLines="0" showRowColHeaders="0" zoomScaleNormal="100" workbookViewId="0">
      <selection activeCell="A8" sqref="A8"/>
    </sheetView>
  </sheetViews>
  <sheetFormatPr defaultColWidth="9.28515625" defaultRowHeight="12.75" x14ac:dyDescent="0.2"/>
  <cols>
    <col min="1" max="1" width="9.28515625" style="372"/>
    <col min="2" max="2" width="16" style="520" customWidth="1"/>
    <col min="3" max="3" width="4.7109375" style="520" customWidth="1"/>
    <col min="4" max="4" width="14.42578125" style="520" customWidth="1"/>
    <col min="5" max="5" width="5" style="520" customWidth="1"/>
    <col min="6" max="6" width="12.140625" style="520" customWidth="1"/>
    <col min="7" max="7" width="12.28515625" style="520" customWidth="1"/>
    <col min="8" max="8" width="4.7109375" style="520" customWidth="1"/>
    <col min="9" max="9" width="2.7109375" style="520" customWidth="1"/>
    <col min="10" max="10" width="4.7109375" style="520" customWidth="1"/>
    <col min="11" max="11" width="2.5703125" style="520" customWidth="1"/>
    <col min="12" max="14" width="2.7109375" style="520" customWidth="1"/>
    <col min="15" max="15" width="5.7109375" style="520" customWidth="1"/>
    <col min="16" max="16" width="12" style="520" customWidth="1"/>
    <col min="17" max="16384" width="9.28515625" style="520"/>
  </cols>
  <sheetData>
    <row r="1" spans="1:22" ht="8.1" customHeight="1" x14ac:dyDescent="0.2">
      <c r="A1" s="439">
        <v>11</v>
      </c>
    </row>
    <row r="2" spans="1:22" s="522" customFormat="1" ht="8.1" customHeight="1" x14ac:dyDescent="0.55000000000000004">
      <c r="A2" s="373"/>
      <c r="B2" s="362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</row>
    <row r="3" spans="1:22" ht="8.1" customHeight="1" x14ac:dyDescent="0.2">
      <c r="B3" s="360"/>
      <c r="S3" s="523"/>
    </row>
    <row r="4" spans="1:22" ht="8.1" customHeight="1" x14ac:dyDescent="0.2">
      <c r="B4" s="360"/>
      <c r="S4" s="524"/>
    </row>
    <row r="5" spans="1:22" ht="11.1" customHeight="1" x14ac:dyDescent="0.2">
      <c r="A5" s="519" t="str">
        <f>A7&amp;" "&amp;A8</f>
        <v>GP 14</v>
      </c>
      <c r="B5" s="360" t="str">
        <f>A5&amp;" SO"</f>
        <v>GP 14 SO</v>
      </c>
      <c r="S5" s="525"/>
    </row>
    <row r="6" spans="1:22" s="526" customFormat="1" ht="11.1" customHeight="1" x14ac:dyDescent="0.2">
      <c r="A6" s="492"/>
      <c r="B6" s="365"/>
    </row>
    <row r="7" spans="1:22" ht="11.1" customHeight="1" x14ac:dyDescent="0.2">
      <c r="A7" s="376" t="s">
        <v>95</v>
      </c>
      <c r="B7" s="365"/>
      <c r="C7" s="526"/>
      <c r="D7" s="526"/>
      <c r="E7" s="526"/>
      <c r="F7" s="526"/>
      <c r="G7" s="526"/>
      <c r="H7" s="526"/>
      <c r="I7" s="526"/>
      <c r="J7" s="526"/>
      <c r="K7" s="526"/>
      <c r="L7" s="526"/>
      <c r="M7" s="526"/>
      <c r="N7" s="526"/>
      <c r="O7" s="526"/>
      <c r="P7" s="526"/>
    </row>
    <row r="8" spans="1:22" ht="12" customHeight="1" x14ac:dyDescent="0.2">
      <c r="A8" s="439">
        <v>14</v>
      </c>
      <c r="B8" s="365"/>
      <c r="C8" s="526"/>
      <c r="D8" s="526"/>
      <c r="E8" s="526"/>
      <c r="F8" s="526"/>
      <c r="G8" s="526"/>
      <c r="H8" s="526"/>
      <c r="I8" s="526"/>
      <c r="J8" s="526"/>
      <c r="K8" s="526"/>
      <c r="L8" s="526"/>
      <c r="M8" s="526"/>
      <c r="N8" s="526"/>
      <c r="O8" s="526"/>
      <c r="P8" s="526"/>
    </row>
    <row r="9" spans="1:22" ht="18.75" x14ac:dyDescent="0.3">
      <c r="A9" s="372" t="str">
        <f>VLOOKUP(A5,grandprix,4,0)</f>
        <v>Italië</v>
      </c>
      <c r="B9" s="365"/>
      <c r="C9" s="732" t="str">
        <f>"GP van "&amp;(VLOOKUP($A$5,grandprix,2,0)&amp;" - progressie")</f>
        <v>GP van Italië - progressie</v>
      </c>
      <c r="D9" s="732"/>
      <c r="E9" s="732"/>
      <c r="F9" s="732"/>
      <c r="G9" s="732"/>
      <c r="H9" s="732"/>
      <c r="I9" s="732"/>
      <c r="J9" s="732"/>
      <c r="K9" s="732"/>
      <c r="L9" s="732"/>
      <c r="M9" s="732"/>
      <c r="N9" s="732"/>
      <c r="O9" s="732"/>
      <c r="P9" s="527"/>
    </row>
    <row r="10" spans="1:22" ht="12" customHeight="1" x14ac:dyDescent="0.2">
      <c r="B10" s="365"/>
      <c r="O10" s="526"/>
      <c r="P10" s="526"/>
    </row>
    <row r="11" spans="1:22" s="530" customFormat="1" ht="15" customHeight="1" x14ac:dyDescent="0.2">
      <c r="A11" s="375"/>
      <c r="B11" s="365"/>
      <c r="C11" s="528"/>
      <c r="D11" s="528" t="s">
        <v>20</v>
      </c>
      <c r="E11" s="528"/>
      <c r="F11" s="528"/>
      <c r="G11" s="528" t="s">
        <v>0</v>
      </c>
      <c r="H11" s="528"/>
      <c r="I11" s="529"/>
      <c r="J11" s="529"/>
      <c r="K11" s="529"/>
      <c r="L11" s="749"/>
      <c r="M11" s="749"/>
      <c r="O11" s="531"/>
    </row>
    <row r="12" spans="1:22" s="530" customFormat="1" ht="15" customHeight="1" x14ac:dyDescent="0.2">
      <c r="A12" s="375"/>
      <c r="B12" s="365"/>
      <c r="C12" s="532">
        <v>1</v>
      </c>
      <c r="D12" s="526" t="str">
        <f>VLOOKUP($B$5,SO,2,0)</f>
        <v>C. Leclerc</v>
      </c>
      <c r="E12" s="533">
        <v>1</v>
      </c>
      <c r="F12" s="526">
        <f t="shared" ref="F12:F31" si="0">VLOOKUP(D12,$G$12:$H$31,2,0)</f>
        <v>1</v>
      </c>
      <c r="G12" s="526" t="str">
        <f>VLOOKUP($A$5,grandprix,29,0)</f>
        <v>C. Leclerc</v>
      </c>
      <c r="H12" s="532">
        <v>1</v>
      </c>
      <c r="J12" s="534"/>
      <c r="L12" s="535"/>
      <c r="M12" s="536"/>
      <c r="O12" s="537"/>
      <c r="U12" s="538"/>
      <c r="V12" s="538"/>
    </row>
    <row r="13" spans="1:22" s="530" customFormat="1" ht="15" customHeight="1" x14ac:dyDescent="0.2">
      <c r="A13" s="375"/>
      <c r="B13" s="365"/>
      <c r="C13" s="532">
        <v>2</v>
      </c>
      <c r="D13" s="526" t="str">
        <f>VLOOKUP($B$5,SO,4,0)</f>
        <v>L. Hamilton</v>
      </c>
      <c r="E13" s="533">
        <v>2</v>
      </c>
      <c r="F13" s="526">
        <f t="shared" si="0"/>
        <v>3</v>
      </c>
      <c r="G13" s="526" t="str">
        <f>VLOOKUP($A$5,grandprix,34,0)</f>
        <v>V. Bottas</v>
      </c>
      <c r="H13" s="532">
        <v>2</v>
      </c>
      <c r="J13" s="534"/>
      <c r="L13" s="535"/>
      <c r="M13" s="536"/>
      <c r="O13" s="537"/>
      <c r="U13" s="538"/>
      <c r="V13" s="538"/>
    </row>
    <row r="14" spans="1:22" s="530" customFormat="1" ht="15" customHeight="1" x14ac:dyDescent="0.2">
      <c r="A14" s="375"/>
      <c r="B14" s="365"/>
      <c r="C14" s="532">
        <v>3</v>
      </c>
      <c r="D14" s="526" t="str">
        <f>VLOOKUP($B$5,SO,6,0)</f>
        <v>V. Bottas</v>
      </c>
      <c r="E14" s="533">
        <v>3</v>
      </c>
      <c r="F14" s="526">
        <f t="shared" si="0"/>
        <v>2</v>
      </c>
      <c r="G14" s="526" t="str">
        <f>VLOOKUP($A$5,grandprix,39,0)</f>
        <v>L. Hamilton</v>
      </c>
      <c r="H14" s="532">
        <v>3</v>
      </c>
      <c r="J14" s="534"/>
      <c r="L14" s="535"/>
      <c r="M14" s="536"/>
      <c r="O14" s="537"/>
      <c r="U14" s="538"/>
      <c r="V14" s="538"/>
    </row>
    <row r="15" spans="1:22" s="530" customFormat="1" ht="15" customHeight="1" x14ac:dyDescent="0.2">
      <c r="A15" s="375"/>
      <c r="B15" s="365"/>
      <c r="C15" s="532">
        <v>4</v>
      </c>
      <c r="D15" s="526" t="str">
        <f>VLOOKUP($B$5,SO,8,0)</f>
        <v>S. Vettel</v>
      </c>
      <c r="E15" s="533">
        <v>4</v>
      </c>
      <c r="F15" s="526">
        <f t="shared" si="0"/>
        <v>13</v>
      </c>
      <c r="G15" s="526" t="str">
        <f>VLOOKUP($A$5,grandprix,44,0)</f>
        <v>D. Ricciardo</v>
      </c>
      <c r="H15" s="532">
        <v>4</v>
      </c>
      <c r="J15" s="534"/>
      <c r="L15" s="535"/>
      <c r="M15" s="536"/>
      <c r="O15" s="537"/>
    </row>
    <row r="16" spans="1:22" s="530" customFormat="1" ht="15" customHeight="1" x14ac:dyDescent="0.2">
      <c r="A16" s="375"/>
      <c r="B16" s="365"/>
      <c r="C16" s="532">
        <v>5</v>
      </c>
      <c r="D16" s="526" t="str">
        <f>VLOOKUP($B$5,SO,10,0)</f>
        <v>D. Ricciardo</v>
      </c>
      <c r="E16" s="533">
        <v>5</v>
      </c>
      <c r="F16" s="526">
        <f t="shared" si="0"/>
        <v>4</v>
      </c>
      <c r="G16" s="526" t="str">
        <f>VLOOKUP($A$5,grandprix,49,0)</f>
        <v>N. Hulkenberg</v>
      </c>
      <c r="H16" s="532">
        <v>5</v>
      </c>
      <c r="J16" s="534"/>
      <c r="L16" s="535"/>
      <c r="M16" s="536"/>
      <c r="O16" s="537"/>
    </row>
    <row r="17" spans="1:15" s="530" customFormat="1" ht="15" customHeight="1" x14ac:dyDescent="0.2">
      <c r="A17" s="375"/>
      <c r="B17" s="365"/>
      <c r="C17" s="532">
        <v>6</v>
      </c>
      <c r="D17" s="526" t="str">
        <f>VLOOKUP($B$5,SO,12,0)</f>
        <v>N. Hulkenberg</v>
      </c>
      <c r="E17" s="533">
        <v>6</v>
      </c>
      <c r="F17" s="526">
        <f t="shared" si="0"/>
        <v>5</v>
      </c>
      <c r="G17" s="526" t="str">
        <f>VLOOKUP($A$5,grandprix,54,0)</f>
        <v>A. Albon¹</v>
      </c>
      <c r="H17" s="532">
        <v>6</v>
      </c>
      <c r="J17" s="534"/>
      <c r="L17" s="535"/>
      <c r="M17" s="536"/>
      <c r="O17" s="537"/>
    </row>
    <row r="18" spans="1:15" s="530" customFormat="1" ht="15" customHeight="1" x14ac:dyDescent="0.2">
      <c r="A18" s="375"/>
      <c r="B18" s="365"/>
      <c r="C18" s="532">
        <v>7</v>
      </c>
      <c r="D18" s="526" t="str">
        <f>VLOOKUP($B$5,SO,14,0)</f>
        <v>C. Sainz</v>
      </c>
      <c r="E18" s="533">
        <v>7</v>
      </c>
      <c r="F18" s="526">
        <f t="shared" si="0"/>
        <v>20</v>
      </c>
      <c r="G18" s="526" t="str">
        <f>VLOOKUP($A$5,grandprix,59,0)</f>
        <v>S. Pérez</v>
      </c>
      <c r="H18" s="532">
        <v>7</v>
      </c>
      <c r="J18" s="534"/>
      <c r="L18" s="535"/>
      <c r="M18" s="536"/>
      <c r="O18" s="537"/>
    </row>
    <row r="19" spans="1:15" s="530" customFormat="1" ht="15" customHeight="1" x14ac:dyDescent="0.2">
      <c r="A19" s="375"/>
      <c r="B19" s="365"/>
      <c r="C19" s="532">
        <v>8</v>
      </c>
      <c r="D19" s="526" t="str">
        <f>VLOOKUP($B$5,SO,16,0)</f>
        <v>A. Albon¹</v>
      </c>
      <c r="E19" s="533">
        <v>8</v>
      </c>
      <c r="F19" s="526">
        <f t="shared" si="0"/>
        <v>6</v>
      </c>
      <c r="G19" s="526" t="str">
        <f>VLOOKUP($A$5,grandprix,64,0)</f>
        <v>M. Verstappen</v>
      </c>
      <c r="H19" s="532">
        <v>8</v>
      </c>
      <c r="J19" s="534"/>
      <c r="L19" s="535"/>
      <c r="M19" s="536"/>
      <c r="O19" s="537"/>
    </row>
    <row r="20" spans="1:15" s="530" customFormat="1" ht="15" customHeight="1" x14ac:dyDescent="0.2">
      <c r="A20" s="375"/>
      <c r="B20" s="365"/>
      <c r="C20" s="532">
        <v>9</v>
      </c>
      <c r="D20" s="526" t="str">
        <f>VLOOKUP($B$5,SO,18,0)</f>
        <v>L. Stroll</v>
      </c>
      <c r="E20" s="533">
        <v>9</v>
      </c>
      <c r="F20" s="526">
        <f t="shared" si="0"/>
        <v>12</v>
      </c>
      <c r="G20" s="526" t="str">
        <f>VLOOKUP($A$5,grandprix,69,0)</f>
        <v>A. Giovinazzi</v>
      </c>
      <c r="H20" s="532">
        <v>9</v>
      </c>
      <c r="J20" s="534"/>
      <c r="L20" s="535"/>
      <c r="M20" s="536"/>
    </row>
    <row r="21" spans="1:15" s="530" customFormat="1" ht="15" customHeight="1" x14ac:dyDescent="0.2">
      <c r="A21" s="375"/>
      <c r="C21" s="532">
        <v>10</v>
      </c>
      <c r="D21" s="526" t="str">
        <f>VLOOKUP($B$5,SO,20,0)</f>
        <v>A. Giovinazzi</v>
      </c>
      <c r="E21" s="533">
        <v>10</v>
      </c>
      <c r="F21" s="526">
        <f t="shared" si="0"/>
        <v>9</v>
      </c>
      <c r="G21" s="526" t="str">
        <f>VLOOKUP($A$5,grandprix,74,0)</f>
        <v>L. Norris</v>
      </c>
      <c r="H21" s="532">
        <v>10</v>
      </c>
      <c r="J21" s="534"/>
      <c r="L21" s="535"/>
      <c r="M21" s="536"/>
    </row>
    <row r="22" spans="1:15" s="530" customFormat="1" ht="15" customHeight="1" x14ac:dyDescent="0.2">
      <c r="A22" s="375"/>
      <c r="C22" s="532">
        <v>11</v>
      </c>
      <c r="D22" s="526" t="str">
        <f>VLOOKUP($B$5,SO,22,0)</f>
        <v>K. Magnussen</v>
      </c>
      <c r="E22" s="533">
        <v>11</v>
      </c>
      <c r="F22" s="526">
        <f t="shared" si="0"/>
        <v>18</v>
      </c>
      <c r="G22" s="526" t="str">
        <f>VLOOKUP($A$5,grandprix,79,0)</f>
        <v>P. Gasly¹</v>
      </c>
      <c r="H22" s="532">
        <v>11</v>
      </c>
      <c r="J22" s="534"/>
      <c r="L22" s="535"/>
      <c r="M22" s="536"/>
    </row>
    <row r="23" spans="1:15" s="530" customFormat="1" ht="15" customHeight="1" x14ac:dyDescent="0.2">
      <c r="A23" s="375"/>
      <c r="C23" s="532">
        <v>12</v>
      </c>
      <c r="D23" s="526" t="str">
        <f>VLOOKUP($B$5,SO,24,0)</f>
        <v>D. Kvyat</v>
      </c>
      <c r="E23" s="533">
        <v>12</v>
      </c>
      <c r="F23" s="526">
        <f t="shared" si="0"/>
        <v>19</v>
      </c>
      <c r="G23" s="526" t="str">
        <f>VLOOKUP($A$5,grandprix,84,0)</f>
        <v>L. Stroll</v>
      </c>
      <c r="H23" s="532">
        <v>12</v>
      </c>
      <c r="J23" s="534"/>
      <c r="L23" s="535"/>
      <c r="M23" s="536"/>
    </row>
    <row r="24" spans="1:15" s="530" customFormat="1" ht="15" customHeight="1" x14ac:dyDescent="0.2">
      <c r="A24" s="375"/>
      <c r="C24" s="532">
        <v>13</v>
      </c>
      <c r="D24" s="526" t="str">
        <f>VLOOKUP($B$5,SO,26,0)</f>
        <v>R. Grosjean</v>
      </c>
      <c r="E24" s="533">
        <v>13</v>
      </c>
      <c r="F24" s="526">
        <f t="shared" si="0"/>
        <v>16</v>
      </c>
      <c r="G24" s="526" t="str">
        <f>VLOOKUP($A$5,grandprix,89,0)</f>
        <v>S. Vettel</v>
      </c>
      <c r="H24" s="532">
        <v>13</v>
      </c>
      <c r="J24" s="534"/>
      <c r="L24" s="535"/>
      <c r="M24" s="536"/>
    </row>
    <row r="25" spans="1:15" s="530" customFormat="1" ht="15" customHeight="1" x14ac:dyDescent="0.2">
      <c r="A25" s="375"/>
      <c r="C25" s="532">
        <v>14</v>
      </c>
      <c r="D25" s="526" t="str">
        <f>VLOOKUP($B$5,SO,28,0)</f>
        <v>G. Russell</v>
      </c>
      <c r="E25" s="533">
        <v>14</v>
      </c>
      <c r="F25" s="526">
        <f t="shared" si="0"/>
        <v>14</v>
      </c>
      <c r="G25" s="526" t="str">
        <f>VLOOKUP($A$5,grandprix,94,0)</f>
        <v>G. Russell</v>
      </c>
      <c r="H25" s="532">
        <v>14</v>
      </c>
      <c r="J25" s="534"/>
      <c r="L25" s="535"/>
      <c r="M25" s="536"/>
    </row>
    <row r="26" spans="1:15" s="530" customFormat="1" ht="15" customHeight="1" x14ac:dyDescent="0.2">
      <c r="A26" s="375"/>
      <c r="C26" s="532">
        <v>15</v>
      </c>
      <c r="D26" s="526" t="str">
        <f>VLOOKUP($B$5,SO,30,0)</f>
        <v>R. Kubica</v>
      </c>
      <c r="E26" s="533">
        <v>15</v>
      </c>
      <c r="F26" s="526">
        <f t="shared" si="0"/>
        <v>17</v>
      </c>
      <c r="G26" s="526" t="str">
        <f>VLOOKUP($A$5,grandprix,99,0)</f>
        <v>K. Raïkkönen</v>
      </c>
      <c r="H26" s="532">
        <v>15</v>
      </c>
      <c r="J26" s="534"/>
      <c r="L26" s="535"/>
      <c r="M26" s="536"/>
    </row>
    <row r="27" spans="1:15" s="530" customFormat="1" ht="15" customHeight="1" x14ac:dyDescent="0.2">
      <c r="A27" s="375"/>
      <c r="C27" s="532">
        <v>16</v>
      </c>
      <c r="D27" s="526" t="str">
        <f>VLOOKUP($B$5,SO,32,0)</f>
        <v>L. Norris</v>
      </c>
      <c r="E27" s="533">
        <v>16</v>
      </c>
      <c r="F27" s="526">
        <f t="shared" si="0"/>
        <v>10</v>
      </c>
      <c r="G27" s="526" t="str">
        <f>VLOOKUP($A$5,grandprix,104,0)</f>
        <v>R. Grosjean</v>
      </c>
      <c r="H27" s="532">
        <v>16</v>
      </c>
      <c r="J27" s="534"/>
      <c r="L27" s="535"/>
      <c r="M27" s="536"/>
    </row>
    <row r="28" spans="1:15" s="530" customFormat="1" ht="15" customHeight="1" x14ac:dyDescent="0.2">
      <c r="A28" s="375"/>
      <c r="C28" s="532">
        <v>17</v>
      </c>
      <c r="D28" s="526" t="str">
        <f>VLOOKUP($B$5,SO,34,0)</f>
        <v>P. Gasly¹</v>
      </c>
      <c r="E28" s="533">
        <v>17</v>
      </c>
      <c r="F28" s="526">
        <f t="shared" si="0"/>
        <v>11</v>
      </c>
      <c r="G28" s="526" t="str">
        <f>VLOOKUP($A$5,grandprix,109,0)</f>
        <v>R. Kubica</v>
      </c>
      <c r="H28" s="532">
        <v>17</v>
      </c>
      <c r="J28" s="534"/>
      <c r="L28" s="535"/>
      <c r="M28" s="536"/>
    </row>
    <row r="29" spans="1:15" s="530" customFormat="1" ht="15" customHeight="1" x14ac:dyDescent="0.2">
      <c r="A29" s="375"/>
      <c r="C29" s="532">
        <v>18</v>
      </c>
      <c r="D29" s="526" t="str">
        <f>VLOOKUP($B$5,SO,36,0)</f>
        <v>S. Pérez</v>
      </c>
      <c r="E29" s="533">
        <v>18</v>
      </c>
      <c r="F29" s="526">
        <f t="shared" si="0"/>
        <v>7</v>
      </c>
      <c r="G29" s="526" t="str">
        <f>VLOOKUP($A$5,grandprix,114,0)</f>
        <v>K. Magnussen</v>
      </c>
      <c r="H29" s="532">
        <v>18</v>
      </c>
      <c r="J29" s="534"/>
      <c r="L29" s="535"/>
      <c r="M29" s="536"/>
    </row>
    <row r="30" spans="1:15" s="530" customFormat="1" ht="15" customHeight="1" x14ac:dyDescent="0.2">
      <c r="A30" s="375"/>
      <c r="C30" s="532">
        <v>19</v>
      </c>
      <c r="D30" s="526" t="str">
        <f>VLOOKUP($B$5,SO,38,0)</f>
        <v>M. Verstappen</v>
      </c>
      <c r="E30" s="533">
        <v>19</v>
      </c>
      <c r="F30" s="526">
        <f t="shared" si="0"/>
        <v>8</v>
      </c>
      <c r="G30" s="526" t="str">
        <f>VLOOKUP($A$5,grandprix,119,0)</f>
        <v>D. Kvyat</v>
      </c>
      <c r="H30" s="532">
        <v>19</v>
      </c>
      <c r="J30" s="534"/>
      <c r="L30" s="535"/>
      <c r="M30" s="536"/>
    </row>
    <row r="31" spans="1:15" s="530" customFormat="1" ht="15" customHeight="1" x14ac:dyDescent="0.2">
      <c r="A31" s="375"/>
      <c r="C31" s="532">
        <v>20</v>
      </c>
      <c r="D31" s="526" t="str">
        <f>VLOOKUP($B$5,SO,40,0)</f>
        <v>K. Raïkkönen</v>
      </c>
      <c r="E31" s="533">
        <v>20</v>
      </c>
      <c r="F31" s="526">
        <f t="shared" si="0"/>
        <v>15</v>
      </c>
      <c r="G31" s="526" t="str">
        <f>VLOOKUP($A$5,grandprix,124,0)</f>
        <v>C. Sainz</v>
      </c>
      <c r="H31" s="532">
        <v>20</v>
      </c>
      <c r="J31" s="534"/>
      <c r="L31" s="535"/>
      <c r="M31" s="536"/>
    </row>
    <row r="32" spans="1:15" s="530" customFormat="1" ht="12" customHeight="1" x14ac:dyDescent="0.2">
      <c r="A32" s="375"/>
    </row>
    <row r="33" spans="1:13" s="530" customFormat="1" ht="15" customHeight="1" x14ac:dyDescent="0.2">
      <c r="A33" s="375"/>
      <c r="C33" s="534"/>
      <c r="D33" s="748"/>
      <c r="E33" s="748"/>
      <c r="G33" s="539"/>
      <c r="H33" s="748"/>
      <c r="I33" s="748"/>
      <c r="J33" s="748"/>
      <c r="K33" s="534"/>
      <c r="L33" s="534"/>
      <c r="M33" s="534"/>
    </row>
    <row r="34" spans="1:13" s="530" customFormat="1" x14ac:dyDescent="0.2">
      <c r="A34" s="375"/>
    </row>
    <row r="35" spans="1:13" s="530" customFormat="1" x14ac:dyDescent="0.2">
      <c r="A35" s="375"/>
    </row>
    <row r="36" spans="1:13" s="526" customFormat="1" x14ac:dyDescent="0.2">
      <c r="A36" s="375"/>
    </row>
    <row r="37" spans="1:13" s="526" customFormat="1" x14ac:dyDescent="0.2">
      <c r="A37" s="375"/>
    </row>
    <row r="38" spans="1:13" s="526" customFormat="1" x14ac:dyDescent="0.2">
      <c r="A38" s="375"/>
    </row>
  </sheetData>
  <sheetProtection sheet="1" formatColumns="0" formatRows="0" selectLockedCells="1" selectUnlockedCells="1"/>
  <mergeCells count="4">
    <mergeCell ref="D33:E33"/>
    <mergeCell ref="H33:J33"/>
    <mergeCell ref="L11:M11"/>
    <mergeCell ref="C9:O9"/>
  </mergeCells>
  <phoneticPr fontId="2" type="noConversion"/>
  <dataValidations count="1">
    <dataValidation type="whole" allowBlank="1" showInputMessage="1" showErrorMessage="1" sqref="A6 A8" xr:uid="{00000000-0002-0000-0900-000000000000}">
      <formula1>1</formula1>
      <formula2>21</formula2>
    </dataValidation>
  </dataValidations>
  <pageMargins left="0.75" right="0.75" top="1" bottom="1" header="0.5" footer="0.5"/>
  <pageSetup paperSize="9" orientation="portrait" horizontalDpi="4294967293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Blad6"/>
  <dimension ref="A1:DH53"/>
  <sheetViews>
    <sheetView showGridLines="0" showRowColHeaders="0" zoomScaleNormal="100" workbookViewId="0">
      <selection activeCell="A5" sqref="A5"/>
    </sheetView>
  </sheetViews>
  <sheetFormatPr defaultColWidth="9.28515625" defaultRowHeight="12.75" x14ac:dyDescent="0.2"/>
  <cols>
    <col min="1" max="1" width="7.7109375" style="361" customWidth="1"/>
    <col min="2" max="2" width="4" style="361" customWidth="1"/>
    <col min="3" max="3" width="13.7109375" style="361" customWidth="1"/>
    <col min="4" max="24" width="4.28515625" style="361" customWidth="1"/>
    <col min="25" max="25" width="7.28515625" style="361" customWidth="1"/>
    <col min="26" max="26" width="1.7109375" style="361" customWidth="1"/>
    <col min="27" max="28" width="4.85546875" style="361" customWidth="1"/>
    <col min="29" max="29" width="1.7109375" style="361" customWidth="1"/>
    <col min="30" max="32" width="7.7109375" style="361" hidden="1" customWidth="1"/>
    <col min="33" max="33" width="7.5703125" style="361" hidden="1" customWidth="1"/>
    <col min="34" max="34" width="13.7109375" style="361" hidden="1" customWidth="1"/>
    <col min="35" max="35" width="9.28515625" style="361" hidden="1" customWidth="1"/>
    <col min="36" max="36" width="5.7109375" style="361" hidden="1" customWidth="1"/>
    <col min="37" max="37" width="6.42578125" style="483" customWidth="1"/>
    <col min="38" max="41" width="5.7109375" style="361" customWidth="1"/>
    <col min="42" max="42" width="12.7109375" style="361" hidden="1" customWidth="1"/>
    <col min="43" max="63" width="5.7109375" style="361" hidden="1" customWidth="1"/>
    <col min="64" max="64" width="8.7109375" style="361" hidden="1" customWidth="1"/>
    <col min="65" max="65" width="9.28515625" style="361" hidden="1" customWidth="1"/>
    <col min="66" max="66" width="13.28515625" style="361" hidden="1" customWidth="1"/>
    <col min="67" max="87" width="5.7109375" style="361" hidden="1" customWidth="1"/>
    <col min="88" max="88" width="8.7109375" style="361" hidden="1" customWidth="1"/>
    <col min="89" max="89" width="9.28515625" style="361" hidden="1" customWidth="1"/>
    <col min="90" max="90" width="14.28515625" style="361" hidden="1" customWidth="1"/>
    <col min="91" max="111" width="7.140625" style="361" hidden="1" customWidth="1"/>
    <col min="112" max="112" width="9.28515625" style="361" hidden="1" customWidth="1"/>
    <col min="113" max="16384" width="9.28515625" style="361"/>
  </cols>
  <sheetData>
    <row r="1" spans="1:112" ht="8.1" customHeight="1" x14ac:dyDescent="0.2">
      <c r="AP1" s="586"/>
      <c r="AQ1" s="586"/>
      <c r="AR1" s="586"/>
      <c r="AS1" s="586"/>
      <c r="AT1" s="586"/>
      <c r="AU1" s="586"/>
      <c r="AV1" s="586"/>
      <c r="AW1" s="586"/>
      <c r="AX1" s="586"/>
      <c r="AY1" s="586"/>
      <c r="AZ1" s="586"/>
      <c r="BA1" s="586"/>
      <c r="BB1" s="586"/>
      <c r="BC1" s="586"/>
      <c r="BD1" s="586"/>
      <c r="BE1" s="586"/>
      <c r="BF1" s="586"/>
      <c r="BG1" s="586"/>
      <c r="BH1" s="586"/>
      <c r="BI1" s="586"/>
      <c r="BJ1" s="586"/>
      <c r="BK1" s="586"/>
      <c r="BL1" s="586"/>
      <c r="BM1" s="586"/>
      <c r="BN1" s="586"/>
      <c r="BO1" s="586"/>
      <c r="BP1" s="586"/>
      <c r="BQ1" s="586"/>
      <c r="BR1" s="586"/>
      <c r="BS1" s="586"/>
      <c r="BT1" s="586"/>
      <c r="BU1" s="586"/>
      <c r="BV1" s="586"/>
      <c r="BW1" s="586"/>
      <c r="BX1" s="586"/>
      <c r="BY1" s="586"/>
      <c r="BZ1" s="586"/>
      <c r="CA1" s="586"/>
      <c r="CB1" s="586"/>
      <c r="CC1" s="586"/>
      <c r="CD1" s="586"/>
      <c r="CE1" s="586"/>
      <c r="CF1" s="586"/>
      <c r="CG1" s="586"/>
      <c r="CH1" s="586"/>
      <c r="CI1" s="586"/>
      <c r="CJ1" s="586"/>
      <c r="CK1" s="586"/>
      <c r="CL1" s="586"/>
      <c r="CM1" s="586"/>
      <c r="CN1" s="586"/>
      <c r="CO1" s="586"/>
      <c r="CP1" s="586"/>
      <c r="CQ1" s="586"/>
      <c r="CR1" s="586"/>
      <c r="CS1" s="586"/>
      <c r="CT1" s="586"/>
      <c r="CU1" s="586"/>
      <c r="CV1" s="586"/>
      <c r="CW1" s="586"/>
      <c r="CX1" s="586"/>
      <c r="CY1" s="586"/>
      <c r="CZ1" s="586"/>
      <c r="DA1" s="586"/>
      <c r="DB1" s="586"/>
      <c r="DC1" s="586"/>
      <c r="DD1" s="586"/>
      <c r="DE1" s="586"/>
      <c r="DF1" s="586"/>
      <c r="DG1" s="586"/>
      <c r="DH1" s="586"/>
    </row>
    <row r="2" spans="1:112" s="364" customFormat="1" ht="8.1" customHeight="1" x14ac:dyDescent="0.55000000000000004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AK2" s="540"/>
    </row>
    <row r="3" spans="1:112" ht="7.5" customHeight="1" x14ac:dyDescent="0.2">
      <c r="N3" s="541"/>
      <c r="AB3" s="541"/>
    </row>
    <row r="4" spans="1:112" ht="8.1" customHeight="1" x14ac:dyDescent="0.2"/>
    <row r="5" spans="1:112" ht="15" customHeight="1" x14ac:dyDescent="0.25">
      <c r="A5" s="542"/>
      <c r="N5" s="543"/>
    </row>
    <row r="6" spans="1:112" s="366" customFormat="1" ht="15" customHeight="1" x14ac:dyDescent="0.2">
      <c r="T6" s="361"/>
      <c r="U6" s="361"/>
      <c r="V6" s="361"/>
      <c r="W6" s="361"/>
      <c r="X6" s="361"/>
      <c r="AK6" s="500"/>
      <c r="AO6" s="544"/>
    </row>
    <row r="7" spans="1:112" ht="15" customHeight="1" thickBot="1" x14ac:dyDescent="0.25">
      <c r="B7" s="366"/>
      <c r="C7" s="366"/>
      <c r="D7" s="366"/>
      <c r="E7" s="366"/>
      <c r="F7" s="366"/>
      <c r="G7" s="366"/>
      <c r="H7" s="416"/>
      <c r="I7" s="366"/>
      <c r="J7" s="366"/>
      <c r="K7" s="366"/>
      <c r="AA7" s="500"/>
      <c r="AB7" s="500"/>
      <c r="AO7" s="545"/>
    </row>
    <row r="8" spans="1:112" ht="15" customHeight="1" thickBot="1" x14ac:dyDescent="0.25">
      <c r="C8" s="366"/>
      <c r="D8" s="417">
        <v>1</v>
      </c>
      <c r="E8" s="417">
        <v>2</v>
      </c>
      <c r="F8" s="417">
        <v>3</v>
      </c>
      <c r="G8" s="417">
        <v>4</v>
      </c>
      <c r="H8" s="417">
        <v>5</v>
      </c>
      <c r="I8" s="417">
        <v>6</v>
      </c>
      <c r="J8" s="417">
        <v>7</v>
      </c>
      <c r="K8" s="417">
        <v>8</v>
      </c>
      <c r="L8" s="417">
        <v>9</v>
      </c>
      <c r="M8" s="417">
        <v>10</v>
      </c>
      <c r="N8" s="417">
        <v>11</v>
      </c>
      <c r="O8" s="417">
        <v>12</v>
      </c>
      <c r="P8" s="417">
        <v>13</v>
      </c>
      <c r="Q8" s="417">
        <v>14</v>
      </c>
      <c r="R8" s="417">
        <v>15</v>
      </c>
      <c r="S8" s="417">
        <v>16</v>
      </c>
      <c r="T8" s="417">
        <v>17</v>
      </c>
      <c r="U8" s="417">
        <v>18</v>
      </c>
      <c r="V8" s="417">
        <v>19</v>
      </c>
      <c r="W8" s="417">
        <v>20</v>
      </c>
      <c r="X8" s="417">
        <v>21</v>
      </c>
      <c r="Y8" s="417" t="s">
        <v>228</v>
      </c>
      <c r="Z8" s="377"/>
      <c r="AA8" s="763" t="s">
        <v>290</v>
      </c>
      <c r="AB8" s="763"/>
      <c r="AK8" s="772" t="s">
        <v>536</v>
      </c>
      <c r="AO8" s="545"/>
      <c r="AP8" s="594" t="s">
        <v>563</v>
      </c>
      <c r="AQ8" s="591" t="s">
        <v>229</v>
      </c>
      <c r="AR8" s="592" t="s">
        <v>230</v>
      </c>
      <c r="AS8" s="592" t="s">
        <v>231</v>
      </c>
      <c r="AT8" s="592" t="s">
        <v>232</v>
      </c>
      <c r="AU8" s="592" t="s">
        <v>233</v>
      </c>
      <c r="AV8" s="592" t="s">
        <v>234</v>
      </c>
      <c r="AW8" s="592" t="s">
        <v>235</v>
      </c>
      <c r="AX8" s="592" t="s">
        <v>236</v>
      </c>
      <c r="AY8" s="592" t="s">
        <v>237</v>
      </c>
      <c r="AZ8" s="592" t="s">
        <v>238</v>
      </c>
      <c r="BA8" s="592" t="s">
        <v>239</v>
      </c>
      <c r="BB8" s="592" t="s">
        <v>240</v>
      </c>
      <c r="BC8" s="592" t="s">
        <v>241</v>
      </c>
      <c r="BD8" s="592" t="s">
        <v>242</v>
      </c>
      <c r="BE8" s="592" t="s">
        <v>243</v>
      </c>
      <c r="BF8" s="592" t="s">
        <v>244</v>
      </c>
      <c r="BG8" s="592" t="s">
        <v>245</v>
      </c>
      <c r="BH8" s="592" t="s">
        <v>333</v>
      </c>
      <c r="BI8" s="592" t="s">
        <v>334</v>
      </c>
      <c r="BJ8" s="592" t="s">
        <v>420</v>
      </c>
      <c r="BK8" s="593" t="s">
        <v>513</v>
      </c>
      <c r="BL8" s="546" t="s">
        <v>228</v>
      </c>
      <c r="BN8" s="590" t="s">
        <v>562</v>
      </c>
      <c r="BO8" s="614" t="s">
        <v>229</v>
      </c>
      <c r="BP8" s="615" t="s">
        <v>230</v>
      </c>
      <c r="BQ8" s="615" t="s">
        <v>231</v>
      </c>
      <c r="BR8" s="615" t="s">
        <v>232</v>
      </c>
      <c r="BS8" s="615" t="s">
        <v>233</v>
      </c>
      <c r="BT8" s="615" t="s">
        <v>234</v>
      </c>
      <c r="BU8" s="615" t="s">
        <v>235</v>
      </c>
      <c r="BV8" s="615" t="s">
        <v>236</v>
      </c>
      <c r="BW8" s="615" t="s">
        <v>237</v>
      </c>
      <c r="BX8" s="615" t="s">
        <v>238</v>
      </c>
      <c r="BY8" s="615" t="s">
        <v>239</v>
      </c>
      <c r="BZ8" s="615" t="s">
        <v>240</v>
      </c>
      <c r="CA8" s="615" t="s">
        <v>241</v>
      </c>
      <c r="CB8" s="615" t="s">
        <v>242</v>
      </c>
      <c r="CC8" s="615" t="s">
        <v>243</v>
      </c>
      <c r="CD8" s="615" t="s">
        <v>244</v>
      </c>
      <c r="CE8" s="615" t="s">
        <v>245</v>
      </c>
      <c r="CF8" s="615" t="s">
        <v>333</v>
      </c>
      <c r="CG8" s="615" t="s">
        <v>334</v>
      </c>
      <c r="CH8" s="615" t="s">
        <v>420</v>
      </c>
      <c r="CI8" s="616" t="s">
        <v>513</v>
      </c>
      <c r="CJ8" s="546" t="s">
        <v>228</v>
      </c>
      <c r="CL8" s="590" t="s">
        <v>561</v>
      </c>
      <c r="CM8" s="591" t="s">
        <v>229</v>
      </c>
      <c r="CN8" s="592" t="s">
        <v>230</v>
      </c>
      <c r="CO8" s="592" t="s">
        <v>231</v>
      </c>
      <c r="CP8" s="592" t="s">
        <v>232</v>
      </c>
      <c r="CQ8" s="592" t="s">
        <v>233</v>
      </c>
      <c r="CR8" s="592" t="s">
        <v>234</v>
      </c>
      <c r="CS8" s="592" t="s">
        <v>235</v>
      </c>
      <c r="CT8" s="592" t="s">
        <v>236</v>
      </c>
      <c r="CU8" s="592" t="s">
        <v>237</v>
      </c>
      <c r="CV8" s="592" t="s">
        <v>238</v>
      </c>
      <c r="CW8" s="592" t="s">
        <v>239</v>
      </c>
      <c r="CX8" s="592" t="s">
        <v>240</v>
      </c>
      <c r="CY8" s="592" t="s">
        <v>241</v>
      </c>
      <c r="CZ8" s="592" t="s">
        <v>242</v>
      </c>
      <c r="DA8" s="592" t="s">
        <v>243</v>
      </c>
      <c r="DB8" s="592" t="s">
        <v>244</v>
      </c>
      <c r="DC8" s="592" t="s">
        <v>245</v>
      </c>
      <c r="DD8" s="592" t="s">
        <v>333</v>
      </c>
      <c r="DE8" s="592" t="s">
        <v>334</v>
      </c>
      <c r="DF8" s="592" t="s">
        <v>420</v>
      </c>
      <c r="DG8" s="593" t="s">
        <v>513</v>
      </c>
      <c r="DH8" s="658" t="s">
        <v>228</v>
      </c>
    </row>
    <row r="9" spans="1:112" ht="15" customHeight="1" x14ac:dyDescent="0.2">
      <c r="B9" s="293">
        <v>1</v>
      </c>
      <c r="C9" s="296" t="s">
        <v>66</v>
      </c>
      <c r="D9" s="297">
        <f>VLOOKUP($C9,punten_rijder,2,0)+VLOOKUP($C9,snelste_ronde,2,0)</f>
        <v>18</v>
      </c>
      <c r="E9" s="297">
        <f>VLOOKUP($C9,punten_rijder,3,0)+VLOOKUP($C9,snelste_ronde,3,0)</f>
        <v>25</v>
      </c>
      <c r="F9" s="297">
        <f>VLOOKUP($C9,punten_rijder,4,0)+VLOOKUP($C9,snelste_ronde,4,0)</f>
        <v>25</v>
      </c>
      <c r="G9" s="297">
        <f>VLOOKUP($C9,punten_rijder,5,0)+VLOOKUP($C9,snelste_ronde,5,0)</f>
        <v>18</v>
      </c>
      <c r="H9" s="297">
        <f>VLOOKUP($C9,punten_rijder,6,0)+VLOOKUP($C9,snelste_ronde,6,0)</f>
        <v>26</v>
      </c>
      <c r="I9" s="297">
        <f>VLOOKUP($C9,punten_rijder,7,0)+VLOOKUP($C9,snelste_ronde,7,0)</f>
        <v>25</v>
      </c>
      <c r="J9" s="297">
        <f>VLOOKUP($C9,punten_rijder,8,0)+VLOOKUP($C9,snelste_ronde,8,0)</f>
        <v>25</v>
      </c>
      <c r="K9" s="297">
        <f>VLOOKUP($C9,punten_rijder,9,0)+VLOOKUP($C9,snelste_ronde,9,0)</f>
        <v>25</v>
      </c>
      <c r="L9" s="297">
        <f>VLOOKUP($C9,punten_rijder,10,0)+VLOOKUP($C9,snelste_ronde,10,0)</f>
        <v>10</v>
      </c>
      <c r="M9" s="297">
        <f>VLOOKUP($C9,punten_rijder,11,0)+VLOOKUP($C9,snelste_ronde,11,0)</f>
        <v>26</v>
      </c>
      <c r="N9" s="297">
        <f>VLOOKUP($C9,punten_rijder,12,0)+VLOOKUP($C9,snelste_ronde,12,0)</f>
        <v>2</v>
      </c>
      <c r="O9" s="297">
        <f>VLOOKUP($C9,punten_rijder,13,0)+VLOOKUP($C9,snelste_ronde,13,0)</f>
        <v>25</v>
      </c>
      <c r="P9" s="297">
        <f>VLOOKUP($C9,punten_rijder,14,0)+VLOOKUP($C9,snelste_ronde,14,0)</f>
        <v>18</v>
      </c>
      <c r="Q9" s="297">
        <f>VLOOKUP($C9,punten_rijder,15,0)+VLOOKUP($C9,snelste_ronde,15,0)</f>
        <v>16</v>
      </c>
      <c r="R9" s="297">
        <f>VLOOKUP($C9,punten_rijder,16,0)+VLOOKUP($C9,snelste_ronde,16,0)</f>
        <v>0</v>
      </c>
      <c r="S9" s="297">
        <f>VLOOKUP($C9,punten_rijder,17,0)+VLOOKUP($C9,snelste_ronde,17,0)</f>
        <v>0</v>
      </c>
      <c r="T9" s="297">
        <f>VLOOKUP($C9,punten_rijder,18,0)+VLOOKUP($C9,snelste_ronde,18,0)</f>
        <v>0</v>
      </c>
      <c r="U9" s="297">
        <f>VLOOKUP($C9,punten_rijder,19,0)+VLOOKUP($C9,snelste_ronde,19,0)</f>
        <v>0</v>
      </c>
      <c r="V9" s="297">
        <f>VLOOKUP($C9,punten_rijder,20,0)+VLOOKUP($C9,snelste_ronde,20,0)</f>
        <v>0</v>
      </c>
      <c r="W9" s="297">
        <f>VLOOKUP($C9,punten_rijder,21,0)+VLOOKUP($C9,snelste_ronde,21,0)</f>
        <v>0</v>
      </c>
      <c r="X9" s="297">
        <f>VLOOKUP($C9,punten_rijder,22,0)+VLOOKUP($C9,snelste_ronde,22,0)</f>
        <v>0</v>
      </c>
      <c r="Y9" s="297">
        <f>SUM(D9:X9)</f>
        <v>284</v>
      </c>
      <c r="Z9" s="547"/>
      <c r="AA9" s="288">
        <f t="shared" ref="AA9:AA27" si="0">VLOOKUP(C9,vorige_stand,2,0)</f>
        <v>1</v>
      </c>
      <c r="AB9" s="298" t="str">
        <f>VLOOKUP(AD9,$AE$9:$AF$11,2,0)</f>
        <v>¬</v>
      </c>
      <c r="AD9" s="548">
        <f t="shared" ref="AD9:AD27" si="1">IF(AA9=B9,1)+IF(AA9&gt;B9,2)+IF(AA9&lt;B9,3)</f>
        <v>1</v>
      </c>
      <c r="AE9" s="548">
        <v>1</v>
      </c>
      <c r="AF9" s="549" t="s">
        <v>286</v>
      </c>
      <c r="AH9" s="296" t="s">
        <v>66</v>
      </c>
      <c r="AI9" s="550">
        <v>1</v>
      </c>
      <c r="AK9" s="773"/>
      <c r="AO9" s="545"/>
      <c r="AP9" s="551" t="s">
        <v>66</v>
      </c>
      <c r="AQ9" s="595">
        <f>IF(Blad1!$AC$2="L. Hamilton",25,0)+IF(Blad1!$AH$2="L. Hamilton",18,0)+IF(Blad1!$AM$2="L. Hamilton",15,0)+IF(Blad1!$AR$2="L. Hamilton",12,0)+IF(Blad1!$AW$2="L. Hamilton",10,0)+IF(Blad1!$BB$2="L. Hamilton",8,0)+IF(Blad1!$BG$2="L. Hamilton",6,0)+IF(Blad1!$BL$2="L. Hamilton",4,0)+IF(Blad1!$BQ$2="L. Hamilton",2,0)+IF(Blad1!$BV$2="L. Hamilton",1,0)</f>
        <v>18</v>
      </c>
      <c r="AR9" s="596">
        <f>IF(Blad1!$AC$3="L. Hamilton",25,0)+IF(Blad1!$AH$3="L. Hamilton",18,0)+IF(Blad1!$AM$3="L. Hamilton",15,0)+IF(Blad1!$AR$3="L. Hamilton",12,0)+IF(Blad1!$AW$3="L. Hamilton",10,0)+IF(Blad1!$BB$3="L. Hamilton",8,0)+IF(Blad1!$BG$3="L. Hamilton",6,0)+IF(Blad1!$BL$3="L. Hamilton",4,0)+IF(Blad1!$BQ$3="L. Hamilton",2,0)+IF(Blad1!$BV$3="L. Hamilton",1,0)</f>
        <v>25</v>
      </c>
      <c r="AS9" s="596">
        <f>IF(Blad1!$AC$4="L. Hamilton",25,0)+IF(Blad1!$AH$4="L. Hamilton",18,0)+IF(Blad1!$AM$4="L. Hamilton",15,0)+IF(Blad1!$AR$4="L. Hamilton",12,0)+IF(Blad1!$AW$4="L. Hamilton",10,0)+IF(Blad1!$BB$4="L. Hamilton",8,0)+IF(Blad1!$BG$4="L. Hamilton",6,0)+IF(Blad1!$BL$4="L. Hamilton",4,0)+IF(Blad1!$BQ$4="L. Hamilton",2,0)+IF(Blad1!$BV$4="L. Hamilton",1,0)</f>
        <v>25</v>
      </c>
      <c r="AT9" s="596">
        <f>IF(Blad1!$AC$5="L. Hamilton",25,0)+IF(Blad1!$AH$5="L. Hamilton",18,0)+IF(Blad1!$AM$5="L. Hamilton",15,0)+IF(Blad1!$AR$5="L. Hamilton",12,0)+IF(Blad1!$AW$5="L. Hamilton",10,0)+IF(Blad1!$BB$5="L. Hamilton",8,0)+IF(Blad1!$BG$5="L. Hamilton",6,0)+IF(Blad1!$BL$5="L. Hamilton",4,0)+IF(Blad1!$BQ$5="L. Hamilton",2,0)+IF(Blad1!$BV$5="L. Hamilton",1,0)</f>
        <v>18</v>
      </c>
      <c r="AU9" s="596">
        <f>IF(Blad1!$AC$6="L. Hamilton",25,0)+IF(Blad1!$AH$6="L. Hamilton",18,0)+IF(Blad1!$AM$6="L. Hamilton",15,0)+IF(Blad1!$AR$6="L. Hamilton",12,0)+IF(Blad1!$AW$6="L. Hamilton",10,0)+IF(Blad1!$BB$6="L. Hamilton",8,0)+IF(Blad1!$BG$6="L. Hamilton",6,0)+IF(Blad1!$BL$6="L. Hamilton",4,0)+IF(Blad1!$BQ$6="L. Hamilton",2,0)+IF(Blad1!$BV$6="L. Hamilton",1,0)</f>
        <v>25</v>
      </c>
      <c r="AV9" s="596">
        <f>IF(Blad1!$AC$7="L. Hamilton",25,0)+IF(Blad1!$AH$7="L. Hamilton",18,0)+IF(Blad1!$AM$7="L. Hamilton",15,0)+IF(Blad1!$AR$7="L. Hamilton",12,0)+IF(Blad1!$AW$7="L. Hamilton",10,0)+IF(Blad1!$BB$7="L. Hamilton",8,0)+IF(Blad1!$BG$7="L. Hamilton",6,0)+IF(Blad1!$BL$7="L. Hamilton",4,0)+IF(Blad1!$BQ$7="L. Hamilton",2,0)+IF(Blad1!$BV$7="L. Hamilton",1,0)</f>
        <v>25</v>
      </c>
      <c r="AW9" s="596">
        <f>IF(Blad1!$AC$8="L. Hamilton",25,0)+IF(Blad1!$AH$8="L. Hamilton",18,0)+IF(Blad1!$AM$8="L. Hamilton",15,0)+IF(Blad1!$AR$8="L. Hamilton",12,0)+IF(Blad1!$AW$8="L. Hamilton",10,0)+IF(Blad1!$BB$8="L. Hamilton",8,0)+IF(Blad1!$BG$8="L. Hamilton",6,0)+IF(Blad1!$BL$8="L. Hamilton",4,0)+IF(Blad1!$BQ$8="L. Hamilton",2,0)+IF(Blad1!$BV$8="L. Hamilton",1,0)</f>
        <v>25</v>
      </c>
      <c r="AX9" s="596">
        <f>IF(Blad1!$AC$9="L. Hamilton",25,0)+IF(Blad1!$AH$9="L. Hamilton",18,0)+IF(Blad1!$AM$9="L. Hamilton",15,0)+IF(Blad1!$AR$9="L. Hamilton",12,0)+IF(Blad1!$AW$9="L. Hamilton",10,0)+IF(Blad1!$BB$9="L. Hamilton",8,0)+IF(Blad1!$BG$9="L. Hamilton",6,0)+IF(Blad1!$BL$9="L. Hamilton",4,0)+IF(Blad1!$BQ$9="L. Hamilton",2,0)+IF(Blad1!$BV$9="L. Hamilton",1,0)</f>
        <v>25</v>
      </c>
      <c r="AY9" s="596">
        <f>IF(Blad1!$AC$10="L. Hamilton",25,0)+IF(Blad1!$AH$10="L. Hamilton",18,0)+IF(Blad1!$AM$10="L. Hamilton",15,0)+IF(Blad1!$AR$10="L. Hamilton",12,0)+IF(Blad1!$AW$10="L. Hamilton",10,0)+IF(Blad1!$BB$10="L. Hamilton",8,0)+IF(Blad1!$BG$10="L. Hamilton",6,0)+IF(Blad1!$BL$10="L. Hamilton",4,0)+IF(Blad1!$BQ$10="L. Hamilton",2,0)+IF(Blad1!$BV$10="L. Hamilton",1,0)</f>
        <v>10</v>
      </c>
      <c r="AZ9" s="596">
        <f>IF(Blad1!$AC$11="L. Hamilton",25,0)+IF(Blad1!$AH$11="L. Hamilton",18,0)+IF(Blad1!$AM$11="L. Hamilton",15,0)+IF(Blad1!$AR$11="L. Hamilton",12,0)+IF(Blad1!$AW$11="L. Hamilton",10,0)+IF(Blad1!$BB$11="L. Hamilton",8,0)+IF(Blad1!$BG$11="L. Hamilton",6,0)+IF(Blad1!$BL$11="L. Hamilton",4,0)+IF(Blad1!$BQ$11="L. Hamilton",2,0)+IF(Blad1!$BV$11="L. Hamilton",1,0)</f>
        <v>25</v>
      </c>
      <c r="BA9" s="596">
        <f>IF(Blad1!$AC$12="L. Hamilton",25,0)+IF(Blad1!$AH$12="L. Hamilton",18,0)+IF(Blad1!$AM$12="L. Hamilton",15,0)+IF(Blad1!$AR$12="L. Hamilton",12,0)+IF(Blad1!$AW$12="L. Hamilton",10,0)+IF(Blad1!$BB$12="L. Hamilton",8,0)+IF(Blad1!$BG$12="L. Hamilton",6,0)+IF(Blad1!$BL$12="L. Hamilton",4,0)+IF(Blad1!$BQ$12="L. Hamilton",2,0)+IF(Blad1!$BV$12="L. Hamilton",1,0)</f>
        <v>2</v>
      </c>
      <c r="BB9" s="596">
        <f>IF(Blad1!$AC$13="L. Hamilton",25,0)+IF(Blad1!$AH$13="L. Hamilton",18,0)+IF(Blad1!$AM$13="L. Hamilton",15,0)+IF(Blad1!$AR$13="L. Hamilton",12,0)+IF(Blad1!$AW$13="L. Hamilton",10,0)+IF(Blad1!$BB$13="L. Hamilton",8,0)+IF(Blad1!$BG$13="L. Hamilton",6,0)+IF(Blad1!$BL$13="L. Hamilton",4,0)+IF(Blad1!$BQ$13="L. Hamilton",2,0)+IF(Blad1!$BV$13="L. Hamilton",1,0)</f>
        <v>25</v>
      </c>
      <c r="BC9" s="596">
        <f>IF(Blad1!$AC$14="L. Hamilton",25,0)+IF(Blad1!$AH$14="L. Hamilton",18,0)+IF(Blad1!$AM$14="L. Hamilton",15,0)+IF(Blad1!$AR$14="L. Hamilton",12,0)+IF(Blad1!$AW$14="L. Hamilton",10,0)+IF(Blad1!$BB$14="L. Hamilton",8,0)+IF(Blad1!$BG$14="L. Hamilton",6,0)+IF(Blad1!$BL$14="L. Hamilton",4,0)+IF(Blad1!$BQ$14="L. Hamilton",2,0)+IF(Blad1!$BV$14="L. Hamilton",1,0)</f>
        <v>18</v>
      </c>
      <c r="BD9" s="596">
        <f>IF(Blad1!$AC$15="L. Hamilton",25,0)+IF(Blad1!$AH$15="L. Hamilton",18,0)+IF(Blad1!$AM$15="L. Hamilton",15,0)+IF(Blad1!$AR$15="L. Hamilton",12,0)+IF(Blad1!$AW$15="L. Hamilton",10,0)+IF(Blad1!$BB$15="L. Hamilton",8,0)+IF(Blad1!$BG$15="L. Hamilton",6,0)+IF(Blad1!$BL$15="L. Hamilton",4,0)+IF(Blad1!$BQ$15="L. Hamilton",2,0)+IF(Blad1!$BV$15="L. Hamilton",1,0)</f>
        <v>15</v>
      </c>
      <c r="BE9" s="596">
        <f>IF(Blad1!$AC$16="L. Hamilton",25,0)+IF(Blad1!$AH$16="L. Hamilton",18,0)+IF(Blad1!$AM$16="L. Hamilton",15,0)+IF(Blad1!$AR$16="L. Hamilton",12,0)+IF(Blad1!$AW$16="L. Hamilton",10,0)+IF(Blad1!$BB$16="L. Hamilton",8,0)+IF(Blad1!$BG$16="L. Hamilton",6,0)+IF(Blad1!$BL$16="L. Hamilton",4,0)+IF(Blad1!$BQ$16="L. Hamilton",2,0)+IF(Blad1!$BV$16="L. Hamilton",1,0)</f>
        <v>0</v>
      </c>
      <c r="BF9" s="596">
        <f>IF(Blad1!$AC$17="L. Hamilton",25,0)+IF(Blad1!$AH$17="L. Hamilton",18,0)+IF(Blad1!$AM$17="L. Hamilton",15,0)+IF(Blad1!$AR$17="L. Hamilton",12,0)+IF(Blad1!$AW$17="L. Hamilton",10,0)+IF(Blad1!$BB$17="L. Hamilton",8,0)+IF(Blad1!$BG$17="L. Hamilton",6,0)+IF(Blad1!$BL$17="L. Hamilton",4,0)+IF(Blad1!$BQ$17="L. Hamilton",2,0)+IF(Blad1!$BV$17="L. Hamilton",1,0)</f>
        <v>0</v>
      </c>
      <c r="BG9" s="596">
        <f>IF(Blad1!$AC$18="L. Hamilton",25,0)+IF(Blad1!$AH$18="L. Hamilton",18,0)+IF(Blad1!$AM$18="L. Hamilton",15,0)+IF(Blad1!$AR$18="L. Hamilton",12,0)+IF(Blad1!$AW$18="L. Hamilton",10,0)+IF(Blad1!$BB$18="L. Hamilton",8,0)+IF(Blad1!$BG$18="L. Hamilton",6,0)+IF(Blad1!$BL$18="L. Hamilton",4,0)+IF(Blad1!$BQ$18="L. Hamilton",2,0)+IF(Blad1!$BV$18="L. Hamilton",1,0)</f>
        <v>0</v>
      </c>
      <c r="BH9" s="596">
        <f>IF(Blad1!$AC$19="L. Hamilton",25,0)+IF(Blad1!$AH$19="L. Hamilton",18,0)+IF(Blad1!$AM$19="L. Hamilton",15,0)+IF(Blad1!$AR$19="L. Hamilton",12,0)+IF(Blad1!$AW$19="L. Hamilton",10,0)+IF(Blad1!$BB$19="L. Hamilton",8,0)+IF(Blad1!$BG$19="L. Hamilton",6,0)+IF(Blad1!$BL$19="L. Hamilton",4,0)+IF(Blad1!$BQ$19="L. Hamilton",2,0)+IF(Blad1!$BV$19="L. Hamilton",1,0)</f>
        <v>0</v>
      </c>
      <c r="BI9" s="596">
        <f>IF(Blad1!$AC$20="L. Hamilton",25,0)+IF(Blad1!$AH$20="L. Hamilton",18,0)+IF(Blad1!$AM$20="L. Hamilton",15,0)+IF(Blad1!$AR$20="L. Hamilton",12,0)+IF(Blad1!$AW$20="L. Hamilton",10,0)+IF(Blad1!$BB$20="L. Hamilton",8,0)+IF(Blad1!$BG$20="L. Hamilton",6,0)+IF(Blad1!$BL$20="L. Hamilton",4,0)+IF(Blad1!$BQ$20="L. Hamilton",2,0)+IF(Blad1!$BV$20="L. Hamilton",1,0)</f>
        <v>0</v>
      </c>
      <c r="BJ9" s="597">
        <f>IF(Blad1!$AC$21="L. Hamilton",25,0)+IF(Blad1!$AH$21="L. Hamilton",18,0)+IF(Blad1!$AM$21="L. Hamilton",15,0)+IF(Blad1!$AR$21="L. Hamilton",12,0)+IF(Blad1!$AW$21="L. Hamilton",10,0)+IF(Blad1!$BB$21="L. Hamilton",8,0)+IF(Blad1!$BG$21="L. Hamilton",6,0)+IF(Blad1!$BL$21="L. Hamilton",4,0)+IF(Blad1!$BQ$21="L. Hamilton",2,0)+IF(Blad1!$BV$21="L. Hamilton",1,0)</f>
        <v>0</v>
      </c>
      <c r="BK9" s="597">
        <f>IF(Blad1!$AC$22="L. Hamilton",25,0)+IF(Blad1!$AH$22="L. Hamilton",18,0)+IF(Blad1!$AM$22="L. Hamilton",15,0)+IF(Blad1!$AR$22="L. Hamilton",12,0)+IF(Blad1!$AW$22="L. Hamilton",10,0)+IF(Blad1!$BB$22="L. Hamilton",8,0)+IF(Blad1!$BG$22="L. Hamilton",6,0)+IF(Blad1!$BL$22="L. Hamilton",4,0)+IF(Blad1!$BQ$22="L. Hamilton",2,0)+IF(Blad1!$BV$22="L. Hamilton",1,0)</f>
        <v>0</v>
      </c>
      <c r="BL9" s="552">
        <f>SUM(AQ9:BK9)</f>
        <v>281</v>
      </c>
      <c r="BN9" s="761" t="s">
        <v>328</v>
      </c>
      <c r="BO9" s="760">
        <f>AQ9+AQ10+CM9+CM10</f>
        <v>44</v>
      </c>
      <c r="BP9" s="757">
        <f t="shared" ref="BP9:CI9" si="2">AR9+AR10+CN9+CN10</f>
        <v>43</v>
      </c>
      <c r="BQ9" s="757">
        <f t="shared" si="2"/>
        <v>43</v>
      </c>
      <c r="BR9" s="757">
        <f t="shared" si="2"/>
        <v>43</v>
      </c>
      <c r="BS9" s="757">
        <f t="shared" si="2"/>
        <v>44</v>
      </c>
      <c r="BT9" s="757">
        <f t="shared" si="2"/>
        <v>40</v>
      </c>
      <c r="BU9" s="757">
        <f t="shared" si="2"/>
        <v>38</v>
      </c>
      <c r="BV9" s="757">
        <f t="shared" si="2"/>
        <v>43</v>
      </c>
      <c r="BW9" s="757">
        <f t="shared" si="2"/>
        <v>25</v>
      </c>
      <c r="BX9" s="757">
        <f t="shared" si="2"/>
        <v>44</v>
      </c>
      <c r="BY9" s="757">
        <f t="shared" si="2"/>
        <v>2</v>
      </c>
      <c r="BZ9" s="757">
        <f t="shared" si="2"/>
        <v>29</v>
      </c>
      <c r="CA9" s="757">
        <f t="shared" si="2"/>
        <v>33</v>
      </c>
      <c r="CB9" s="757">
        <f t="shared" si="2"/>
        <v>34</v>
      </c>
      <c r="CC9" s="757">
        <f t="shared" si="2"/>
        <v>0</v>
      </c>
      <c r="CD9" s="757">
        <f t="shared" si="2"/>
        <v>0</v>
      </c>
      <c r="CE9" s="757">
        <f t="shared" si="2"/>
        <v>0</v>
      </c>
      <c r="CF9" s="757">
        <f t="shared" si="2"/>
        <v>0</v>
      </c>
      <c r="CG9" s="757">
        <f t="shared" si="2"/>
        <v>0</v>
      </c>
      <c r="CH9" s="757">
        <f t="shared" si="2"/>
        <v>0</v>
      </c>
      <c r="CI9" s="778">
        <f t="shared" si="2"/>
        <v>0</v>
      </c>
      <c r="CJ9" s="758">
        <f>SUM(BO9:CH10)</f>
        <v>505</v>
      </c>
      <c r="CL9" s="567" t="s">
        <v>66</v>
      </c>
      <c r="CM9" s="613">
        <f>IF(Blad1!Z$2=$CL9,1)*Blad1!EJ$2</f>
        <v>0</v>
      </c>
      <c r="CN9" s="568">
        <f>IF(Blad1!Z$3=$CL9,1)*Blad1!EJ$3</f>
        <v>0</v>
      </c>
      <c r="CO9" s="568">
        <f>IF(Blad1!Z$4=$CL9,1)*Blad1!EJ$4</f>
        <v>0</v>
      </c>
      <c r="CP9" s="568">
        <f>IF(Blad1!Z$5=$CL9,1)*Blad1!EJ$5</f>
        <v>0</v>
      </c>
      <c r="CQ9" s="568">
        <f>IF(Blad1!Z$6=$CL9,1)*Blad1!EJ$6</f>
        <v>1</v>
      </c>
      <c r="CR9" s="568">
        <f>IF(Blad1!Z$7=$CL9,1)*Blad1!EJ$7</f>
        <v>0</v>
      </c>
      <c r="CS9" s="568">
        <f>IF(Blad1!Z$8=$CL9,1)*Blad1!EJ$8</f>
        <v>0</v>
      </c>
      <c r="CT9" s="568">
        <f>IF(Blad1!Z$9=$CL9,1)*Blad1!EJ$9</f>
        <v>0</v>
      </c>
      <c r="CU9" s="568">
        <f>IF(Blad1!Z$10=$CL9,1)*Blad1!EJ$10</f>
        <v>0</v>
      </c>
      <c r="CV9" s="568">
        <f>IF(Blad1!Z$11=$CL9,1)*Blad1!EJ$11</f>
        <v>1</v>
      </c>
      <c r="CW9" s="568">
        <f>IF(Blad1!Z$12=$CL9,1)*Blad1!EJ$12</f>
        <v>0</v>
      </c>
      <c r="CX9" s="568">
        <f>IF(Blad1!Z$13=$CL9,1)*Blad1!EJ$13</f>
        <v>0</v>
      </c>
      <c r="CY9" s="568">
        <f>IF(Blad1!Z$14=$CL9,1)*Blad1!EJ$14</f>
        <v>0</v>
      </c>
      <c r="CZ9" s="568">
        <f>IF(Blad1!Z$15=$CL9,1)*Blad1!EJ$15</f>
        <v>1</v>
      </c>
      <c r="DA9" s="568">
        <f>IF(Blad1!Z$16=$CL9,1)*Blad1!EJ$16</f>
        <v>0</v>
      </c>
      <c r="DB9" s="568">
        <f>IF(Blad1!Z$17=$CL9,1)*Blad1!EJ$17</f>
        <v>0</v>
      </c>
      <c r="DC9" s="568">
        <f>IF(Blad1!Z$18=$CL9,1)*Blad1!EJ$18</f>
        <v>0</v>
      </c>
      <c r="DD9" s="568">
        <f>IF(Blad1!Z$19=$CL9,1)*Blad1!EJ$19</f>
        <v>0</v>
      </c>
      <c r="DE9" s="568">
        <f>IF(Blad1!Z$20=$CL9,1)*Blad1!EJ$20</f>
        <v>0</v>
      </c>
      <c r="DF9" s="568">
        <f>IF(Blad1!Z$21=$CL9,1)*Blad1!EJ$21</f>
        <v>0</v>
      </c>
      <c r="DG9" s="648">
        <f>IF(Blad1!Z$22=$CL9,1)*Blad1!EJ$22</f>
        <v>0</v>
      </c>
      <c r="DH9" s="651">
        <f>SUM(CM9:DG9)</f>
        <v>3</v>
      </c>
    </row>
    <row r="10" spans="1:112" ht="15" customHeight="1" x14ac:dyDescent="0.2">
      <c r="B10" s="293">
        <v>2</v>
      </c>
      <c r="C10" s="296" t="s">
        <v>350</v>
      </c>
      <c r="D10" s="297">
        <f>VLOOKUP($C10,punten_rijder,2,0)+VLOOKUP($C10,snelste_ronde,2,0)</f>
        <v>26</v>
      </c>
      <c r="E10" s="297">
        <f>VLOOKUP($C10,punten_rijder,3,0)+VLOOKUP($C10,snelste_ronde,3,0)</f>
        <v>18</v>
      </c>
      <c r="F10" s="297">
        <f>VLOOKUP($C10,punten_rijder,4,0)+VLOOKUP($C10,snelste_ronde,4,0)</f>
        <v>18</v>
      </c>
      <c r="G10" s="297">
        <f>VLOOKUP($C10,punten_rijder,5,0)+VLOOKUP($C10,snelste_ronde,5,0)</f>
        <v>25</v>
      </c>
      <c r="H10" s="297">
        <f>VLOOKUP($C10,punten_rijder,6,0)+VLOOKUP($C10,snelste_ronde,6,0)</f>
        <v>18</v>
      </c>
      <c r="I10" s="297">
        <f>VLOOKUP($C10,punten_rijder,7,0)+VLOOKUP($C10,snelste_ronde,7,0)</f>
        <v>15</v>
      </c>
      <c r="J10" s="297">
        <f>VLOOKUP($C10,punten_rijder,8,0)+VLOOKUP($C10,snelste_ronde,8,0)</f>
        <v>13</v>
      </c>
      <c r="K10" s="297">
        <f>VLOOKUP($C10,punten_rijder,9,0)+VLOOKUP($C10,snelste_ronde,9,0)</f>
        <v>18</v>
      </c>
      <c r="L10" s="297">
        <f>VLOOKUP($C10,punten_rijder,10,0)+VLOOKUP($C10,snelste_ronde,10,0)</f>
        <v>15</v>
      </c>
      <c r="M10" s="297">
        <f>VLOOKUP($C10,punten_rijder,11,0)+VLOOKUP($C10,snelste_ronde,11,0)</f>
        <v>18</v>
      </c>
      <c r="N10" s="297">
        <f>VLOOKUP($C10,punten_rijder,12,0)+VLOOKUP($C10,snelste_ronde,12,0)</f>
        <v>0</v>
      </c>
      <c r="O10" s="297">
        <f>VLOOKUP($C10,punten_rijder,13,0)+VLOOKUP($C10,snelste_ronde,13,0)</f>
        <v>4</v>
      </c>
      <c r="P10" s="297">
        <f>VLOOKUP($C10,punten_rijder,14,0)+VLOOKUP($C10,snelste_ronde,14,0)</f>
        <v>15</v>
      </c>
      <c r="Q10" s="297">
        <f>VLOOKUP($C10,punten_rijder,15,0)+VLOOKUP($C10,snelste_ronde,15,0)</f>
        <v>18</v>
      </c>
      <c r="R10" s="297">
        <f>VLOOKUP($C10,punten_rijder,16,0)+VLOOKUP($C10,snelste_ronde,16,0)</f>
        <v>0</v>
      </c>
      <c r="S10" s="297">
        <f>VLOOKUP($C10,punten_rijder,17,0)+VLOOKUP($C10,snelste_ronde,17,0)</f>
        <v>0</v>
      </c>
      <c r="T10" s="297">
        <f>VLOOKUP($C10,punten_rijder,18,0)+VLOOKUP($C10,snelste_ronde,18,0)</f>
        <v>0</v>
      </c>
      <c r="U10" s="297">
        <f>VLOOKUP($C10,punten_rijder,19,0)+VLOOKUP($C10,snelste_ronde,19,0)</f>
        <v>0</v>
      </c>
      <c r="V10" s="297">
        <f>VLOOKUP($C10,punten_rijder,20,0)+VLOOKUP($C10,snelste_ronde,20,0)</f>
        <v>0</v>
      </c>
      <c r="W10" s="297">
        <f>VLOOKUP($C10,punten_rijder,21,0)+VLOOKUP($C10,snelste_ronde,21,0)</f>
        <v>0</v>
      </c>
      <c r="X10" s="297">
        <f>VLOOKUP($C10,punten_rijder,22,0)+VLOOKUP($C10,snelste_ronde,22,0)</f>
        <v>0</v>
      </c>
      <c r="Y10" s="297">
        <f>SUM(D10:X10)</f>
        <v>221</v>
      </c>
      <c r="Z10" s="547"/>
      <c r="AA10" s="288">
        <f t="shared" si="0"/>
        <v>2</v>
      </c>
      <c r="AB10" s="298" t="str">
        <f t="shared" ref="AB10:AB27" si="3">VLOOKUP(AD10,$AE$9:$AF$11,2,0)</f>
        <v>¬</v>
      </c>
      <c r="AD10" s="548">
        <f t="shared" si="1"/>
        <v>1</v>
      </c>
      <c r="AE10" s="548">
        <v>2</v>
      </c>
      <c r="AF10" s="549" t="s">
        <v>287</v>
      </c>
      <c r="AH10" s="296" t="s">
        <v>350</v>
      </c>
      <c r="AI10" s="550">
        <v>2</v>
      </c>
      <c r="AK10" s="297">
        <f t="shared" ref="AK10:AK28" si="4">Y9-Y10</f>
        <v>63</v>
      </c>
      <c r="AO10" s="545"/>
      <c r="AP10" s="553" t="s">
        <v>350</v>
      </c>
      <c r="AQ10" s="554">
        <f>IF(Blad1!$AC$2="V. Bottas",25,0)+IF(Blad1!$AH$2="V. Bottas",18,0)+IF(Blad1!$AM$2="V. Bottas",15,0)+IF(Blad1!$AR$2="V. Bottas",12,0)+IF(Blad1!$AW$2="V. Bottas",10,0)+IF(Blad1!$BB$2="V. Bottas",8,0)+IF(Blad1!$BG$2="V. Bottas",6,0)+IF(Blad1!$BL$2="V. Bottas",4,0)+IF(Blad1!$BQ$2="V. Bottas",2,0)+IF(Blad1!$BV$2="V. Bottas",1,0)</f>
        <v>25</v>
      </c>
      <c r="AR10" s="555">
        <f>IF(Blad1!$AC$3="V. Bottas",25,0)+IF(Blad1!$AH$3="V. Bottas",18,0)+IF(Blad1!$AM$3="V. Bottas",15,0)+IF(Blad1!$AR$3="V. Bottas",12,0)+IF(Blad1!$AW$3="V. Bottas",10,0)+IF(Blad1!$BB$3="V. Bottas",8,0)+IF(Blad1!$BG$3="V. Bottas",6,0)+IF(Blad1!$BL$3="V. Bottas",4,0)+IF(Blad1!$BQ$3="V. Bottas",2,0)+IF(Blad1!$BV$3="V. Bottas",1,0)</f>
        <v>18</v>
      </c>
      <c r="AS10" s="555">
        <f>IF(Blad1!$AC$4="V. Bottas",25,0)+IF(Blad1!$AH$4="V. Bottas",18,0)+IF(Blad1!$AM$4="V. Bottas",15,0)+IF(Blad1!$AR$4="V. Bottas",12,0)+IF(Blad1!$AW$4="V. Bottas",10,0)+IF(Blad1!$BB$4="V. Bottas",8,0)+IF(Blad1!$BG$4="V. Bottas",6,0)+IF(Blad1!$BL$4="V. Bottas",4,0)+IF(Blad1!$BQ$4="V. Bottas",2,0)+IF(Blad1!$BV$4="V. Bottas",1,0)</f>
        <v>18</v>
      </c>
      <c r="AT10" s="555">
        <f>IF(Blad1!$AC$5="V. Bottas",25,0)+IF(Blad1!$AH$5="V. Bottas",18,0)+IF(Blad1!$AM$5="V. Bottas",15,0)+IF(Blad1!$AR$5="V. Bottas",12,0)+IF(Blad1!$AW$5="V. Bottas",10,0)+IF(Blad1!$BB$5="V. Bottas",8,0)+IF(Blad1!$BG$5="V. Bottas",6,0)+IF(Blad1!$BL$5="V. Bottas",4,0)+IF(Blad1!$BQ$5="V. Bottas",2,0)+IF(Blad1!$BV$5="V. Bottas",1,0)</f>
        <v>25</v>
      </c>
      <c r="AU10" s="555">
        <f>IF(Blad1!$AC$6="V. Bottas",25,0)+IF(Blad1!$AH$6="V. Bottas",18,0)+IF(Blad1!$AM$6="V. Bottas",15,0)+IF(Blad1!$AR$6="V. Bottas",12,0)+IF(Blad1!$AW$6="V. Bottas",10,0)+IF(Blad1!$BB$6="V. Bottas",8,0)+IF(Blad1!$BG$6="V. Bottas",6,0)+IF(Blad1!$BL$6="V. Bottas",4,0)+IF(Blad1!$BQ$6="V. Bottas",2,0)+IF(Blad1!$BV$6="V. Bottas",1,0)</f>
        <v>18</v>
      </c>
      <c r="AV10" s="555">
        <f>IF(Blad1!$AC$7="V. Bottas",25,0)+IF(Blad1!$AH$7="V. Bottas",18,0)+IF(Blad1!$AM$7="V. Bottas",15,0)+IF(Blad1!$AR$7="V. Bottas",12,0)+IF(Blad1!$AW$7="V. Bottas",10,0)+IF(Blad1!$BB$7="V. Bottas",8,0)+IF(Blad1!$BG$7="V. Bottas",6,0)+IF(Blad1!$BL$7="V. Bottas",4,0)+IF(Blad1!$BQ$7="V. Bottas",2,0)+IF(Blad1!$BV$7="V. Bottas",1,0)</f>
        <v>15</v>
      </c>
      <c r="AW10" s="555">
        <f>IF(Blad1!$AC$8="V. Bottas",25,0)+IF(Blad1!$AH$8="V. Bottas",18,0)+IF(Blad1!$AM$8="V. Bottas",15,0)+IF(Blad1!$AR$8="V. Bottas",12,0)+IF(Blad1!$AW$8="V. Bottas",10,0)+IF(Blad1!$BB$8="V. Bottas",8,0)+IF(Blad1!$BG$8="V. Bottas",6,0)+IF(Blad1!$BL$8="V. Bottas",4,0)+IF(Blad1!$BQ$8="V. Bottas",2,0)+IF(Blad1!$BV$8="V. Bottas",1,0)</f>
        <v>12</v>
      </c>
      <c r="AX10" s="555">
        <f>IF(Blad1!$AC$9="V. Bottas",25,0)+IF(Blad1!$AH$9="V. Bottas",18,0)+IF(Blad1!$AM$9="V. Bottas",15,0)+IF(Blad1!$AR$9="V. Bottas",12,0)+IF(Blad1!$AW$9="V. Bottas",10,0)+IF(Blad1!$BB$9="V. Bottas",8,0)+IF(Blad1!$BG$9="V. Bottas",6,0)+IF(Blad1!$BL$9="V. Bottas",4,0)+IF(Blad1!$BQ$9="V. Bottas",2,0)+IF(Blad1!$BV$9="V. Bottas",1,0)</f>
        <v>18</v>
      </c>
      <c r="AY10" s="555">
        <f>IF(Blad1!$AC$10="V. Bottas",25,0)+IF(Blad1!$AH$10="V. Bottas",18,0)+IF(Blad1!$AM$10="V. Bottas",15,0)+IF(Blad1!$AR$10="V. Bottas",12,0)+IF(Blad1!$AW$10="V. Bottas",10,0)+IF(Blad1!$BB$10="V. Bottas",8,0)+IF(Blad1!$BG$10="V. Bottas",6,0)+IF(Blad1!$BL$10="V. Bottas",4,0)+IF(Blad1!$BQ$10="V. Bottas",2,0)+IF(Blad1!$BV$10="V. Bottas",1,0)</f>
        <v>15</v>
      </c>
      <c r="AZ10" s="555">
        <f>IF(Blad1!$AC$11="V. Bottas",25,0)+IF(Blad1!$AH$11="V. Bottas",18,0)+IF(Blad1!$AM$11="V. Bottas",15,0)+IF(Blad1!$AR$11="V. Bottas",12,0)+IF(Blad1!$AW$11="V. Bottas",10,0)+IF(Blad1!$BB$11="V. Bottas",8,0)+IF(Blad1!$BG$11="V. Bottas",6,0)+IF(Blad1!$BL$11="V. Bottas",4,0)+IF(Blad1!$BQ$11="V. Bottas",2,0)+IF(Blad1!$BV$11="V. Bottas",1,0)</f>
        <v>18</v>
      </c>
      <c r="BA10" s="555">
        <f>IF(Blad1!$AC$12="V. Bottas",25,0)+IF(Blad1!$AH$12="V. Bottas",18,0)+IF(Blad1!$AM$12="V. Bottas",15,0)+IF(Blad1!$AR$12="V. Bottas",12,0)+IF(Blad1!$AW$12="V. Bottas",10,0)+IF(Blad1!$BB$12="V. Bottas",8,0)+IF(Blad1!$BG$12="V. Bottas",6,0)+IF(Blad1!$BL$12="V. Bottas",4,0)+IF(Blad1!$BQ$12="V. Bottas",2,0)+IF(Blad1!$BV$12="V. Bottas",1,0)</f>
        <v>0</v>
      </c>
      <c r="BB10" s="555">
        <f>IF(Blad1!$AC$13="V. Bottas",25,0)+IF(Blad1!$AH$13="V. Bottas",18,0)+IF(Blad1!$AM$13="V. Bottas",15,0)+IF(Blad1!$AR$13="V. Bottas",12,0)+IF(Blad1!$AW$13="V. Bottas",10,0)+IF(Blad1!$BB$13="V. Bottas",8,0)+IF(Blad1!$BG$13="V. Bottas",6,0)+IF(Blad1!$BL$13="V. Bottas",4,0)+IF(Blad1!$BQ$13="V. Bottas",2,0)+IF(Blad1!$BV$13="V. Bottas",1,0)</f>
        <v>4</v>
      </c>
      <c r="BC10" s="555">
        <f>IF(Blad1!$AC$14="V. Bottas",25,0)+IF(Blad1!$AH$14="V. Bottas",18,0)+IF(Blad1!$AM$14="V. Bottas",15,0)+IF(Blad1!$AR$14="V. Bottas",12,0)+IF(Blad1!$AW$14="V. Bottas",10,0)+IF(Blad1!$BB$14="V. Bottas",8,0)+IF(Blad1!$BG$14="V. Bottas",6,0)+IF(Blad1!$BL$14="V. Bottas",4,0)+IF(Blad1!$BQ$14="V. Bottas",2,0)+IF(Blad1!$BV$14="V. Bottas",1,0)</f>
        <v>15</v>
      </c>
      <c r="BD10" s="555">
        <f>IF(Blad1!$AC$15="V. Bottas",25,0)+IF(Blad1!$AH$15="V. Bottas",18,0)+IF(Blad1!$AM$15="V. Bottas",15,0)+IF(Blad1!$AR$15="V. Bottas",12,0)+IF(Blad1!$AW$15="V. Bottas",10,0)+IF(Blad1!$BB$15="V. Bottas",8,0)+IF(Blad1!$BG$15="V. Bottas",6,0)+IF(Blad1!$BL$15="V. Bottas",4,0)+IF(Blad1!$BQ$15="V. Bottas",2,0)+IF(Blad1!$BV$15="V. Bottas",1,0)</f>
        <v>18</v>
      </c>
      <c r="BE10" s="555">
        <f>IF(Blad1!$AC$16="V. Bottas",25,0)+IF(Blad1!$AH$16="V. Bottas",18,0)+IF(Blad1!$AM$16="V. Bottas",15,0)+IF(Blad1!$AR$16="V. Bottas",12,0)+IF(Blad1!$AW$16="V. Bottas",10,0)+IF(Blad1!$BB$16="V. Bottas",8,0)+IF(Blad1!$BG$16="V. Bottas",6,0)+IF(Blad1!$BL$16="V. Bottas",4,0)+IF(Blad1!$BQ$16="V. Bottas",2,0)+IF(Blad1!$BV$16="V. Bottas",1,0)</f>
        <v>0</v>
      </c>
      <c r="BF10" s="555">
        <f>IF(Blad1!$AC$17="V. Bottas",25,0)+IF(Blad1!$AH$17="V. Bottas",18,0)+IF(Blad1!$AM$17="V. Bottas",15,0)+IF(Blad1!$AR$17="V. Bottas",12,0)+IF(Blad1!$AW$17="V. Bottas",10,0)+IF(Blad1!$BB$17="V. Bottas",8,0)+IF(Blad1!$BG$17="V. Bottas",6,0)+IF(Blad1!$BL$17="V. Bottas",4,0)+IF(Blad1!$BQ$17="V. Bottas",2,0)+IF(Blad1!$BV$17="V. Bottas",1,0)</f>
        <v>0</v>
      </c>
      <c r="BG10" s="555">
        <f>IF(Blad1!$AC$18="V. Bottas",25,0)+IF(Blad1!$AH$18="V. Bottas",18,0)+IF(Blad1!$AM$18="V. Bottas",15,0)+IF(Blad1!$AR$18="V. Bottas",12,0)+IF(Blad1!$AW$18="V. Bottas",10,0)+IF(Blad1!$BB$18="V. Bottas",8,0)+IF(Blad1!$BG$18="V. Bottas",6,0)+IF(Blad1!$BL$18="V. Bottas",4,0)+IF(Blad1!$BQ$18="V. Bottas",2,0)+IF(Blad1!$BV$18="V. Bottas",1,0)</f>
        <v>0</v>
      </c>
      <c r="BH10" s="555">
        <f>IF(Blad1!$AC$19="V. Bottas",25,0)+IF(Blad1!$AH$19="V. Bottas",18,0)+IF(Blad1!$AM$19="V. Bottas",15,0)+IF(Blad1!$AR$19="V. Bottas",12,0)+IF(Blad1!$AW$19="V. Bottas",10,0)+IF(Blad1!$BB$19="V. Bottas",8,0)+IF(Blad1!$BG$19="V. Bottas",6,0)+IF(Blad1!$BL$19="V. Bottas",4,0)+IF(Blad1!$BQ$19="V. Bottas",2,0)+IF(Blad1!$BV$19="V. Bottas",1,0)</f>
        <v>0</v>
      </c>
      <c r="BI10" s="555">
        <f>IF(Blad1!$AC$20="V. Bottas",25,0)+IF(Blad1!$AH$20="V. Bottas",18,0)+IF(Blad1!$AM$20="V. Bottas",15,0)+IF(Blad1!$AR$20="V. Bottas",12,0)+IF(Blad1!$AW$20="V. Bottas",10,0)+IF(Blad1!$BB$20="V. Bottas",8,0)+IF(Blad1!$BG$20="V. Bottas",6,0)+IF(Blad1!$BL$20="V. Bottas",4,0)+IF(Blad1!$BQ$20="V. Bottas",2,0)+IF(Blad1!$BV$20="V. Bottas",1,0)</f>
        <v>0</v>
      </c>
      <c r="BJ10" s="556">
        <f>IF(Blad1!$AC$21="V. Bottas",25,0)+IF(Blad1!$AH$21="V. Bottas",18,0)+IF(Blad1!$AM$21="V. Bottas",15,0)+IF(Blad1!$AR$21="V. Bottas",12,0)+IF(Blad1!$AW$21="V. Bottas",10,0)+IF(Blad1!$BB$21="V. Bottas",8,0)+IF(Blad1!$BG$21="V. Bottas",6,0)+IF(Blad1!$BL$21="V. Bottas",4,0)+IF(Blad1!$BQ$21="V. Bottas",2,0)+IF(Blad1!$BV$21="V. Bottas",1,0)</f>
        <v>0</v>
      </c>
      <c r="BK10" s="556">
        <f>IF(Blad1!$AC$22="V. Bottas",25,0)+IF(Blad1!$AH$22="V. Bottas",18,0)+IF(Blad1!$AM$22="V. Bottas",15,0)+IF(Blad1!$AR$22="V. Bottas",12,0)+IF(Blad1!$AW$22="V. Bottas",10,0)+IF(Blad1!$BB$22="V. Bottas",8,0)+IF(Blad1!$BG$22="V. Bottas",6,0)+IF(Blad1!$BL$22="V. Bottas",4,0)+IF(Blad1!$BQ$22="V. Bottas",2,0)+IF(Blad1!$BV$22="V. Bottas",1,0)</f>
        <v>0</v>
      </c>
      <c r="BL10" s="557">
        <f t="shared" ref="BL10:BL28" si="5">SUM(AQ10:BK10)</f>
        <v>219</v>
      </c>
      <c r="BN10" s="762"/>
      <c r="BO10" s="759"/>
      <c r="BP10" s="750"/>
      <c r="BQ10" s="750"/>
      <c r="BR10" s="750"/>
      <c r="BS10" s="750"/>
      <c r="BT10" s="750"/>
      <c r="BU10" s="750"/>
      <c r="BV10" s="750"/>
      <c r="BW10" s="750"/>
      <c r="BX10" s="750"/>
      <c r="BY10" s="750"/>
      <c r="BZ10" s="750"/>
      <c r="CA10" s="750"/>
      <c r="CB10" s="750"/>
      <c r="CC10" s="750"/>
      <c r="CD10" s="750"/>
      <c r="CE10" s="750"/>
      <c r="CF10" s="750"/>
      <c r="CG10" s="750"/>
      <c r="CH10" s="750"/>
      <c r="CI10" s="755"/>
      <c r="CJ10" s="753"/>
      <c r="CL10" s="569" t="s">
        <v>350</v>
      </c>
      <c r="CM10" s="611">
        <f>IF(Blad1!Z$2=$CL10,1)*Blad1!EJ$2</f>
        <v>1</v>
      </c>
      <c r="CN10" s="609">
        <f>IF(Blad1!Z$3=$CL10,1)*Blad1!EJ$3</f>
        <v>0</v>
      </c>
      <c r="CO10" s="609">
        <f>IF(Blad1!Z$4=$CL10,1)*Blad1!EJ$4</f>
        <v>0</v>
      </c>
      <c r="CP10" s="609">
        <f>IF(Blad1!Z$5=$CL10,1)*Blad1!EJ$5</f>
        <v>0</v>
      </c>
      <c r="CQ10" s="609">
        <f>IF(Blad1!Z$6=$CL10,1)*Blad1!EJ$6</f>
        <v>0</v>
      </c>
      <c r="CR10" s="609">
        <f>IF(Blad1!Z$7=$CL10,1)*Blad1!EJ$7</f>
        <v>0</v>
      </c>
      <c r="CS10" s="609">
        <f>IF(Blad1!Z$8=$CL10,1)*Blad1!EJ$8</f>
        <v>1</v>
      </c>
      <c r="CT10" s="609">
        <f>IF(Blad1!Z$9=$CL10,1)*Blad1!EJ$9</f>
        <v>0</v>
      </c>
      <c r="CU10" s="609">
        <f>IF(Blad1!Z$10=$CL10,1)*Blad1!EJ$10</f>
        <v>0</v>
      </c>
      <c r="CV10" s="609">
        <f>IF(Blad1!Z$11=$CL10,1)*Blad1!EJ$11</f>
        <v>0</v>
      </c>
      <c r="CW10" s="609">
        <f>IF(Blad1!Z$12=$CL10,1)*Blad1!EJ$12</f>
        <v>0</v>
      </c>
      <c r="CX10" s="609">
        <f>IF(Blad1!Z$13=$CL10,1)*Blad1!EJ$13</f>
        <v>0</v>
      </c>
      <c r="CY10" s="609">
        <f>IF(Blad1!Z$14=$CL10,1)*Blad1!EJ$14</f>
        <v>0</v>
      </c>
      <c r="CZ10" s="609">
        <f>IF(Blad1!Z$15=$CL10,1)*Blad1!EJ$15</f>
        <v>0</v>
      </c>
      <c r="DA10" s="609">
        <f>IF(Blad1!Z$16=$CL10,1)*Blad1!EJ$16</f>
        <v>0</v>
      </c>
      <c r="DB10" s="609">
        <f>IF(Blad1!Z$17=$CL10,1)*Blad1!EJ$17</f>
        <v>0</v>
      </c>
      <c r="DC10" s="609">
        <f>IF(Blad1!Z$18=$CL10,1)*Blad1!EJ$18</f>
        <v>0</v>
      </c>
      <c r="DD10" s="609">
        <f>IF(Blad1!Z$19=$CL10,1)*Blad1!EJ$19</f>
        <v>0</v>
      </c>
      <c r="DE10" s="609">
        <f>IF(Blad1!Z$20=$CL10,1)*Blad1!EJ$20</f>
        <v>0</v>
      </c>
      <c r="DF10" s="609">
        <f>IF(Blad1!Z$21=$CL10,1)*Blad1!EJ$21</f>
        <v>0</v>
      </c>
      <c r="DG10" s="649">
        <f>IF(Blad1!Z$22=$CL10,1)*Blad1!EJ$22</f>
        <v>0</v>
      </c>
      <c r="DH10" s="652">
        <f t="shared" ref="DH10:DH28" si="6">SUM(CM10:DG10)</f>
        <v>2</v>
      </c>
    </row>
    <row r="11" spans="1:112" ht="15" customHeight="1" x14ac:dyDescent="0.2">
      <c r="B11" s="293">
        <v>3</v>
      </c>
      <c r="C11" s="296" t="s">
        <v>390</v>
      </c>
      <c r="D11" s="297">
        <f>VLOOKUP($C11,punten_rijder,2,0)+VLOOKUP($C11,snelste_ronde,2,0)</f>
        <v>15</v>
      </c>
      <c r="E11" s="297">
        <f>VLOOKUP($C11,punten_rijder,3,0)+VLOOKUP($C11,snelste_ronde,3,0)</f>
        <v>12</v>
      </c>
      <c r="F11" s="297">
        <f>VLOOKUP($C11,punten_rijder,4,0)+VLOOKUP($C11,snelste_ronde,4,0)</f>
        <v>12</v>
      </c>
      <c r="G11" s="297">
        <f>VLOOKUP($C11,punten_rijder,5,0)+VLOOKUP($C11,snelste_ronde,5,0)</f>
        <v>12</v>
      </c>
      <c r="H11" s="297">
        <f>VLOOKUP($C11,punten_rijder,6,0)+VLOOKUP($C11,snelste_ronde,6,0)</f>
        <v>15</v>
      </c>
      <c r="I11" s="297">
        <f>VLOOKUP($C11,punten_rijder,7,0)+VLOOKUP($C11,snelste_ronde,7,0)</f>
        <v>12</v>
      </c>
      <c r="J11" s="297">
        <f>VLOOKUP($C11,punten_rijder,8,0)+VLOOKUP($C11,snelste_ronde,8,0)</f>
        <v>10</v>
      </c>
      <c r="K11" s="297">
        <f>VLOOKUP($C11,punten_rijder,9,0)+VLOOKUP($C11,snelste_ronde,9,0)</f>
        <v>12</v>
      </c>
      <c r="L11" s="297">
        <f>VLOOKUP($C11,punten_rijder,10,0)+VLOOKUP($C11,snelste_ronde,10,0)</f>
        <v>26</v>
      </c>
      <c r="M11" s="297">
        <f>VLOOKUP($C11,punten_rijder,11,0)+VLOOKUP($C11,snelste_ronde,11,0)</f>
        <v>10</v>
      </c>
      <c r="N11" s="297">
        <f>VLOOKUP($C11,punten_rijder,12,0)+VLOOKUP($C11,snelste_ronde,12,0)</f>
        <v>26</v>
      </c>
      <c r="O11" s="297">
        <f>VLOOKUP($C11,punten_rijder,13,0)+VLOOKUP($C11,snelste_ronde,13,0)</f>
        <v>19</v>
      </c>
      <c r="P11" s="297">
        <f>VLOOKUP($C11,punten_rijder,14,0)+VLOOKUP($C11,snelste_ronde,14,0)</f>
        <v>0</v>
      </c>
      <c r="Q11" s="297">
        <f>VLOOKUP($C11,punten_rijder,15,0)+VLOOKUP($C11,snelste_ronde,15,0)</f>
        <v>4</v>
      </c>
      <c r="R11" s="297">
        <f>VLOOKUP($C11,punten_rijder,16,0)+VLOOKUP($C11,snelste_ronde,16,0)</f>
        <v>0</v>
      </c>
      <c r="S11" s="297">
        <f>VLOOKUP($C11,punten_rijder,17,0)+VLOOKUP($C11,snelste_ronde,17,0)</f>
        <v>0</v>
      </c>
      <c r="T11" s="297">
        <f>VLOOKUP($C11,punten_rijder,18,0)+VLOOKUP($C11,snelste_ronde,18,0)</f>
        <v>0</v>
      </c>
      <c r="U11" s="297">
        <f>VLOOKUP($C11,punten_rijder,19,0)+VLOOKUP($C11,snelste_ronde,19,0)</f>
        <v>0</v>
      </c>
      <c r="V11" s="297">
        <f>VLOOKUP($C11,punten_rijder,20,0)+VLOOKUP($C11,snelste_ronde,20,0)</f>
        <v>0</v>
      </c>
      <c r="W11" s="297">
        <f>VLOOKUP($C11,punten_rijder,21,0)+VLOOKUP($C11,snelste_ronde,21,0)</f>
        <v>0</v>
      </c>
      <c r="X11" s="297">
        <f>VLOOKUP($C11,punten_rijder,22,0)+VLOOKUP($C11,snelste_ronde,22,0)</f>
        <v>0</v>
      </c>
      <c r="Y11" s="297">
        <f>SUM(D11:X11)</f>
        <v>185</v>
      </c>
      <c r="Z11" s="547"/>
      <c r="AA11" s="288">
        <f t="shared" si="0"/>
        <v>3</v>
      </c>
      <c r="AB11" s="298" t="str">
        <f t="shared" si="3"/>
        <v>¬</v>
      </c>
      <c r="AD11" s="548">
        <f t="shared" si="1"/>
        <v>1</v>
      </c>
      <c r="AE11" s="548">
        <v>3</v>
      </c>
      <c r="AF11" s="549" t="s">
        <v>288</v>
      </c>
      <c r="AH11" s="296" t="s">
        <v>390</v>
      </c>
      <c r="AI11" s="550">
        <v>3</v>
      </c>
      <c r="AK11" s="297">
        <f t="shared" si="4"/>
        <v>36</v>
      </c>
      <c r="AO11" s="545"/>
      <c r="AP11" s="553" t="s">
        <v>67</v>
      </c>
      <c r="AQ11" s="554">
        <f>IF(Blad1!$AC$2="S. Vettel",25,0)+IF(Blad1!$AH$2="S. Vettel",18,0)+IF(Blad1!$AM$2="S. Vettel",15,0)+IF(Blad1!$AR$2="S. Vettel",12,0)+IF(Blad1!$AW$2="S. Vettel",10,0)+IF(Blad1!$BB$2="S. Vettel",8,0)+IF(Blad1!$BG$2="S. Vettel",6,0)+IF(Blad1!$BL$2="S. Vettel",4,0)+IF(Blad1!$BQ$2="S. Vettel",2,0)+IF(Blad1!$BV$2="S. Vettel",1,0)</f>
        <v>12</v>
      </c>
      <c r="AR11" s="555">
        <f>IF(Blad1!$AC$3="S. Vettel",25,0)+IF(Blad1!$AH$3="S. Vettel",18,0)+IF(Blad1!$AM$3="S. Vettel",15,0)+IF(Blad1!$AR$3="S. Vettel",12,0)+IF(Blad1!$AW$3="S. Vettel",10,0)+IF(Blad1!$BB$3="S. Vettel",8,0)+IF(Blad1!$BG$3="S. Vettel",6,0)+IF(Blad1!$BL$3="S. Vettel",4,0)+IF(Blad1!$BQ$3="S. Vettel",2,0)+IF(Blad1!$BV$3="S. Vettel",1,0)</f>
        <v>10</v>
      </c>
      <c r="AS11" s="555">
        <f>IF(Blad1!$AC$4="S. Vettel",25,0)+IF(Blad1!$AH$4="S. Vettel",18,0)+IF(Blad1!$AM$4="S. Vettel",15,0)+IF(Blad1!$AR$4="S. Vettel",12,0)+IF(Blad1!$AW$4="S. Vettel",10,0)+IF(Blad1!$BB$4="S. Vettel",8,0)+IF(Blad1!$BG$4="S. Vettel",6,0)+IF(Blad1!$BL$4="S. Vettel",4,0)+IF(Blad1!$BQ$4="S. Vettel",2,0)+IF(Blad1!$BV$4="S. Vettel",1,0)</f>
        <v>15</v>
      </c>
      <c r="AT11" s="555">
        <f>IF(Blad1!$AC$5="S. Vettel",25,0)+IF(Blad1!$AH$5="S. Vettel",18,0)+IF(Blad1!$AM$5="S. Vettel",15,0)+IF(Blad1!$AR$5="S. Vettel",12,0)+IF(Blad1!$AW$5="S. Vettel",10,0)+IF(Blad1!$BB$5="S. Vettel",8,0)+IF(Blad1!$BG$5="S. Vettel",6,0)+IF(Blad1!$BL$5="S. Vettel",4,0)+IF(Blad1!$BQ$5="S. Vettel",2,0)+IF(Blad1!$BV$5="S. Vettel",1,0)</f>
        <v>15</v>
      </c>
      <c r="AU11" s="555">
        <f>IF(Blad1!$AC$6="S. Vettel",25,0)+IF(Blad1!$AH$6="S. Vettel",18,0)+IF(Blad1!$AM$6="S. Vettel",15,0)+IF(Blad1!$AR$6="S. Vettel",12,0)+IF(Blad1!$AW$6="S. Vettel",10,0)+IF(Blad1!$BB$6="S. Vettel",8,0)+IF(Blad1!$BG$6="S. Vettel",6,0)+IF(Blad1!$BL$6="S. Vettel",4,0)+IF(Blad1!$BQ$6="S. Vettel",2,0)+IF(Blad1!$BV$6="S. Vettel",1,0)</f>
        <v>12</v>
      </c>
      <c r="AV11" s="555">
        <f>IF(Blad1!$AC$7="S. Vettel",25,0)+IF(Blad1!$AH$7="S. Vettel",18,0)+IF(Blad1!$AM$7="S. Vettel",15,0)+IF(Blad1!$AR$7="S. Vettel",12,0)+IF(Blad1!$AW$7="S. Vettel",10,0)+IF(Blad1!$BB$7="S. Vettel",8,0)+IF(Blad1!$BG$7="S. Vettel",6,0)+IF(Blad1!$BL$7="S. Vettel",4,0)+IF(Blad1!$BQ$7="S. Vettel",2,0)+IF(Blad1!$BV$7="S. Vettel",1,0)</f>
        <v>18</v>
      </c>
      <c r="AW11" s="555">
        <f>IF(Blad1!$AC$8="S. Vettel",25,0)+IF(Blad1!$AH$8="S. Vettel",18,0)+IF(Blad1!$AM$8="S. Vettel",15,0)+IF(Blad1!$AR$8="S. Vettel",12,0)+IF(Blad1!$AW$8="S. Vettel",10,0)+IF(Blad1!$BB$8="S. Vettel",8,0)+IF(Blad1!$BG$8="S. Vettel",6,0)+IF(Blad1!$BL$8="S. Vettel",4,0)+IF(Blad1!$BQ$8="S. Vettel",2,0)+IF(Blad1!$BV$8="S. Vettel",1,0)</f>
        <v>18</v>
      </c>
      <c r="AX11" s="555">
        <f>IF(Blad1!$AC$9="S. Vettel",25,0)+IF(Blad1!$AH$9="S. Vettel",18,0)+IF(Blad1!$AM$9="S. Vettel",15,0)+IF(Blad1!$AR$9="S. Vettel",12,0)+IF(Blad1!$AW$9="S. Vettel",10,0)+IF(Blad1!$BB$9="S. Vettel",8,0)+IF(Blad1!$BG$9="S. Vettel",6,0)+IF(Blad1!$BL$9="S. Vettel",4,0)+IF(Blad1!$BQ$9="S. Vettel",2,0)+IF(Blad1!$BV$9="S. Vettel",1,0)</f>
        <v>10</v>
      </c>
      <c r="AY11" s="555">
        <f>IF(Blad1!$AC$10="S. Vettel",25,0)+IF(Blad1!$AH$10="S. Vettel",18,0)+IF(Blad1!$AM$10="S. Vettel",15,0)+IF(Blad1!$AR$10="S. Vettel",12,0)+IF(Blad1!$AW$10="S. Vettel",10,0)+IF(Blad1!$BB$10="S. Vettel",8,0)+IF(Blad1!$BG$10="S. Vettel",6,0)+IF(Blad1!$BL$10="S. Vettel",4,0)+IF(Blad1!$BQ$10="S. Vettel",2,0)+IF(Blad1!$BV$10="S. Vettel",1,0)</f>
        <v>12</v>
      </c>
      <c r="AZ11" s="555">
        <f>IF(Blad1!$AC$11="S. Vettel",25,0)+IF(Blad1!$AH$11="S. Vettel",18,0)+IF(Blad1!$AM$11="S. Vettel",15,0)+IF(Blad1!$AR$11="S. Vettel",12,0)+IF(Blad1!$AW$11="S. Vettel",10,0)+IF(Blad1!$BB$11="S. Vettel",8,0)+IF(Blad1!$BG$11="S. Vettel",6,0)+IF(Blad1!$BL$11="S. Vettel",4,0)+IF(Blad1!$BQ$11="S. Vettel",2,0)+IF(Blad1!$BV$11="S. Vettel",1,0)</f>
        <v>0</v>
      </c>
      <c r="BA11" s="555">
        <f>IF(Blad1!$AC$12="S. Vettel",25,0)+IF(Blad1!$AH$12="S. Vettel",18,0)+IF(Blad1!$AM$12="S. Vettel",15,0)+IF(Blad1!$AR$12="S. Vettel",12,0)+IF(Blad1!$AW$12="S. Vettel",10,0)+IF(Blad1!$BB$12="S. Vettel",8,0)+IF(Blad1!$BG$12="S. Vettel",6,0)+IF(Blad1!$BL$12="S. Vettel",4,0)+IF(Blad1!$BQ$12="S. Vettel",2,0)+IF(Blad1!$BV$12="S. Vettel",1,0)</f>
        <v>18</v>
      </c>
      <c r="BB11" s="555">
        <f>IF(Blad1!$AC$13="S. Vettel",25,0)+IF(Blad1!$AH$13="S. Vettel",18,0)+IF(Blad1!$AM$13="S. Vettel",15,0)+IF(Blad1!$AR$13="S. Vettel",12,0)+IF(Blad1!$AW$13="S. Vettel",10,0)+IF(Blad1!$BB$13="S. Vettel",8,0)+IF(Blad1!$BG$13="S. Vettel",6,0)+IF(Blad1!$BL$13="S. Vettel",4,0)+IF(Blad1!$BQ$13="S. Vettel",2,0)+IF(Blad1!$BV$13="S. Vettel",1,0)</f>
        <v>15</v>
      </c>
      <c r="BC11" s="555">
        <f>IF(Blad1!$AC$14="S. Vettel",25,0)+IF(Blad1!$AH$14="S. Vettel",18,0)+IF(Blad1!$AM$14="S. Vettel",15,0)+IF(Blad1!$AR$14="S. Vettel",12,0)+IF(Blad1!$AW$14="S. Vettel",10,0)+IF(Blad1!$BB$14="S. Vettel",8,0)+IF(Blad1!$BG$14="S. Vettel",6,0)+IF(Blad1!$BL$14="S. Vettel",4,0)+IF(Blad1!$BQ$14="S. Vettel",2,0)+IF(Blad1!$BV$14="S. Vettel",1,0)</f>
        <v>12</v>
      </c>
      <c r="BD11" s="555">
        <f>IF(Blad1!$AC$15="S. Vettel",25,0)+IF(Blad1!$AH$15="S. Vettel",18,0)+IF(Blad1!$AM$15="S. Vettel",15,0)+IF(Blad1!$AR$15="S. Vettel",12,0)+IF(Blad1!$AW$15="S. Vettel",10,0)+IF(Blad1!$BB$15="S. Vettel",8,0)+IF(Blad1!$BG$15="S. Vettel",6,0)+IF(Blad1!$BL$15="S. Vettel",4,0)+IF(Blad1!$BQ$15="S. Vettel",2,0)+IF(Blad1!$BV$15="S. Vettel",1,0)</f>
        <v>0</v>
      </c>
      <c r="BE11" s="555">
        <f>IF(Blad1!$AC$16="S. Vettel",25,0)+IF(Blad1!$AH$16="S. Vettel",18,0)+IF(Blad1!$AM$16="S. Vettel",15,0)+IF(Blad1!$AR$16="S. Vettel",12,0)+IF(Blad1!$AW$16="S. Vettel",10,0)+IF(Blad1!$BB$16="S. Vettel",8,0)+IF(Blad1!$BG$16="S. Vettel",6,0)+IF(Blad1!$BL$16="S. Vettel",4,0)+IF(Blad1!$BQ$16="S. Vettel",2,0)+IF(Blad1!$BV$16="S. Vettel",1,0)</f>
        <v>0</v>
      </c>
      <c r="BF11" s="555">
        <f>IF(Blad1!$AC$17="S. Vettel",25,0)+IF(Blad1!$AH$17="S. Vettel",18,0)+IF(Blad1!$AM$17="S. Vettel",15,0)+IF(Blad1!$AR$17="S. Vettel",12,0)+IF(Blad1!$AW$17="S. Vettel",10,0)+IF(Blad1!$BB$17="S. Vettel",8,0)+IF(Blad1!$BG$17="S. Vettel",6,0)+IF(Blad1!$BL$17="S. Vettel",4,0)+IF(Blad1!$BQ$17="S. Vettel",2,0)+IF(Blad1!$BV$17="S. Vettel",1,0)</f>
        <v>0</v>
      </c>
      <c r="BG11" s="555">
        <f>IF(Blad1!$AC$18="S. Vettel",25,0)+IF(Blad1!$AH$18="S. Vettel",18,0)+IF(Blad1!$AM$18="S. Vettel",15,0)+IF(Blad1!$AR$18="S. Vettel",12,0)+IF(Blad1!$AW$18="S. Vettel",10,0)+IF(Blad1!$BB$18="S. Vettel",8,0)+IF(Blad1!$BG$18="S. Vettel",6,0)+IF(Blad1!$BL$18="S. Vettel",4,0)+IF(Blad1!$BQ$18="S. Vettel",2,0)+IF(Blad1!$BV$18="S. Vettel",1,0)</f>
        <v>0</v>
      </c>
      <c r="BH11" s="555">
        <f>IF(Blad1!$AC$19="S. Vettel",25,0)+IF(Blad1!$AH$19="S. Vettel",18,0)+IF(Blad1!$AM$19="S. Vettel",15,0)+IF(Blad1!$AR$19="S. Vettel",12,0)+IF(Blad1!$AW$19="S. Vettel",10,0)+IF(Blad1!$BB$19="S. Vettel",8,0)+IF(Blad1!$BG$19="S. Vettel",6,0)+IF(Blad1!$BL$19="S. Vettel",4,0)+IF(Blad1!$BQ$19="S. Vettel",2,0)+IF(Blad1!$BV$19="S. Vettel",1,0)</f>
        <v>0</v>
      </c>
      <c r="BI11" s="555">
        <f>IF(Blad1!$AC$20="S. Vettel",25,0)+IF(Blad1!$AH$20="S. Vettel",18,0)+IF(Blad1!$AM$20="S. Vettel",15,0)+IF(Blad1!$AR$20="S. Vettel",12,0)+IF(Blad1!$AW$20="S. Vettel",10,0)+IF(Blad1!$BB$20="S. Vettel",8,0)+IF(Blad1!$BG$20="S. Vettel",6,0)+IF(Blad1!$BL$20="S. Vettel",4,0)+IF(Blad1!$BQ$20="S. Vettel",2,0)+IF(Blad1!$BV$20="S. Vettel",1,0)</f>
        <v>0</v>
      </c>
      <c r="BJ11" s="556">
        <f>IF(Blad1!$AC$21="S. Vettel",25,0)+IF(Blad1!$AH$21="S. Vettel",18,0)+IF(Blad1!$AM$21="S. Vettel",15,0)+IF(Blad1!$AR$21="S. Vettel",12,0)+IF(Blad1!$AW$21="S. Vettel",10,0)+IF(Blad1!$BB$21="S. Vettel",8,0)+IF(Blad1!$BG$21="S. Vettel",6,0)+IF(Blad1!$BL$21="S. Vettel",4,0)+IF(Blad1!$BQ$21="S. Vettel",2,0)+IF(Blad1!$BV$21="S. Vettel",1,0)</f>
        <v>0</v>
      </c>
      <c r="BK11" s="556">
        <f>IF(Blad1!$AC$22="S. Vettel",25,0)+IF(Blad1!$AH$22="S. Vettel",18,0)+IF(Blad1!$AM$22="S. Vettel",15,0)+IF(Blad1!$AR$22="S. Vettel",12,0)+IF(Blad1!$AW$22="S. Vettel",10,0)+IF(Blad1!$BB$22="S. Vettel",8,0)+IF(Blad1!$BG$22="S. Vettel",6,0)+IF(Blad1!$BL$22="S. Vettel",4,0)+IF(Blad1!$BQ$22="S. Vettel",2,0)+IF(Blad1!$BV$22="S. Vettel",1,0)</f>
        <v>0</v>
      </c>
      <c r="BL11" s="557">
        <f t="shared" si="5"/>
        <v>167</v>
      </c>
      <c r="BN11" s="762" t="s">
        <v>64</v>
      </c>
      <c r="BO11" s="759">
        <f t="shared" ref="BO11" si="7">AQ11+AQ12+CM11+CM12</f>
        <v>22</v>
      </c>
      <c r="BP11" s="750">
        <f t="shared" ref="BP11" si="8">AR11+AR12+CN11+CN12</f>
        <v>26</v>
      </c>
      <c r="BQ11" s="750">
        <f t="shared" ref="BQ11" si="9">AS11+AS12+CO11+CO12</f>
        <v>25</v>
      </c>
      <c r="BR11" s="750">
        <f t="shared" ref="BR11" si="10">AT11+AT12+CP11+CP12</f>
        <v>26</v>
      </c>
      <c r="BS11" s="750">
        <f t="shared" ref="BS11" si="11">AU11+AU12+CQ11+CQ12</f>
        <v>22</v>
      </c>
      <c r="BT11" s="750">
        <f t="shared" ref="BT11" si="12">AV11+AV12+CR11+CR12</f>
        <v>18</v>
      </c>
      <c r="BU11" s="750">
        <f t="shared" ref="BU11" si="13">AW11+AW12+CS11+CS12</f>
        <v>33</v>
      </c>
      <c r="BV11" s="750">
        <f t="shared" ref="BV11" si="14">AX11+AX12+CT11+CT12</f>
        <v>26</v>
      </c>
      <c r="BW11" s="750">
        <f t="shared" ref="BW11" si="15">AY11+AY12+CU11+CU12</f>
        <v>30</v>
      </c>
      <c r="BX11" s="750">
        <f t="shared" ref="BX11" si="16">AZ11+AZ12+CV11+CV12</f>
        <v>15</v>
      </c>
      <c r="BY11" s="750">
        <f t="shared" ref="BY11" si="17">BA11+BA12+CW11+CW12</f>
        <v>18</v>
      </c>
      <c r="BZ11" s="750">
        <f t="shared" ref="BZ11" si="18">BB11+BB12+CX11+CX12</f>
        <v>27</v>
      </c>
      <c r="CA11" s="750">
        <f t="shared" ref="CA11" si="19">BC11+BC12+CY11+CY12</f>
        <v>38</v>
      </c>
      <c r="CB11" s="750">
        <f t="shared" ref="CB11" si="20">BD11+BD12+CZ11+CZ12</f>
        <v>25</v>
      </c>
      <c r="CC11" s="750">
        <f t="shared" ref="CC11" si="21">BE11+BE12+DA11+DA12</f>
        <v>0</v>
      </c>
      <c r="CD11" s="750">
        <f t="shared" ref="CD11" si="22">BF11+BF12+DB11+DB12</f>
        <v>0</v>
      </c>
      <c r="CE11" s="750">
        <f t="shared" ref="CE11" si="23">BG11+BG12+DC11+DC12</f>
        <v>0</v>
      </c>
      <c r="CF11" s="750">
        <f t="shared" ref="CF11" si="24">BH11+BH12+DD11+DD12</f>
        <v>0</v>
      </c>
      <c r="CG11" s="750">
        <f t="shared" ref="CG11" si="25">BI11+BI12+DE11+DE12</f>
        <v>0</v>
      </c>
      <c r="CH11" s="750">
        <f t="shared" ref="CH11" si="26">BJ11+BJ12+DF11+DF12</f>
        <v>0</v>
      </c>
      <c r="CI11" s="755">
        <f t="shared" ref="CI11" si="27">BK11+BK12+DG11+DG12</f>
        <v>0</v>
      </c>
      <c r="CJ11" s="753">
        <f t="shared" ref="CJ11" si="28">SUM(BO11:CH12)</f>
        <v>351</v>
      </c>
      <c r="CL11" s="569" t="s">
        <v>67</v>
      </c>
      <c r="CM11" s="611">
        <f>IF(Blad1!Z$2=$CL11,1)*Blad1!EJ$2</f>
        <v>0</v>
      </c>
      <c r="CN11" s="609">
        <f>IF(Blad1!Z$3=$CL11,1)*Blad1!EJ$3</f>
        <v>0</v>
      </c>
      <c r="CO11" s="609">
        <f>IF(Blad1!Z$4=$CL11,1)*Blad1!EJ$4</f>
        <v>0</v>
      </c>
      <c r="CP11" s="609">
        <f>IF(Blad1!Z$5=$CL11,1)*Blad1!EJ$5</f>
        <v>0</v>
      </c>
      <c r="CQ11" s="609">
        <f>IF(Blad1!Z$6=$CL11,1)*Blad1!EJ$6</f>
        <v>0</v>
      </c>
      <c r="CR11" s="609">
        <f>IF(Blad1!Z$7=$CL11,1)*Blad1!EJ$7</f>
        <v>0</v>
      </c>
      <c r="CS11" s="609">
        <f>IF(Blad1!Z$8=$CL11,1)*Blad1!EJ$8</f>
        <v>0</v>
      </c>
      <c r="CT11" s="609">
        <f>IF(Blad1!Z$9=$CL11,1)*Blad1!EJ$9</f>
        <v>1</v>
      </c>
      <c r="CU11" s="609">
        <f>IF(Blad1!Z$10=$CL11,1)*Blad1!EJ$10</f>
        <v>0</v>
      </c>
      <c r="CV11" s="609">
        <f>IF(Blad1!Z$11=$CL11,1)*Blad1!EJ$11</f>
        <v>0</v>
      </c>
      <c r="CW11" s="609">
        <f>IF(Blad1!Z$12=$CL11,1)*Blad1!EJ$12</f>
        <v>0</v>
      </c>
      <c r="CX11" s="609">
        <f>IF(Blad1!Z$13=$CL11,1)*Blad1!EJ$13</f>
        <v>0</v>
      </c>
      <c r="CY11" s="609">
        <f>IF(Blad1!Z$14=$CL11,1)*Blad1!EJ$14</f>
        <v>1</v>
      </c>
      <c r="CZ11" s="609">
        <f>IF(Blad1!Z$15=$CL11,1)*Blad1!EJ$15</f>
        <v>0</v>
      </c>
      <c r="DA11" s="609">
        <f>IF(Blad1!Z$16=$CL11,1)*Blad1!EJ$16</f>
        <v>0</v>
      </c>
      <c r="DB11" s="609">
        <f>IF(Blad1!Z$17=$CL11,1)*Blad1!EJ$17</f>
        <v>0</v>
      </c>
      <c r="DC11" s="609">
        <f>IF(Blad1!Z$18=$CL11,1)*Blad1!EJ$18</f>
        <v>0</v>
      </c>
      <c r="DD11" s="609">
        <f>IF(Blad1!Z$19=$CL11,1)*Blad1!EJ$19</f>
        <v>0</v>
      </c>
      <c r="DE11" s="609">
        <f>IF(Blad1!Z$20=$CL11,1)*Blad1!EJ$20</f>
        <v>0</v>
      </c>
      <c r="DF11" s="609">
        <f>IF(Blad1!Z$21=$CL11,1)*Blad1!EJ$21</f>
        <v>0</v>
      </c>
      <c r="DG11" s="649">
        <f>IF(Blad1!Z$22=$CL11,1)*Blad1!EJ$22</f>
        <v>0</v>
      </c>
      <c r="DH11" s="652">
        <f t="shared" si="6"/>
        <v>2</v>
      </c>
    </row>
    <row r="12" spans="1:112" ht="15" customHeight="1" x14ac:dyDescent="0.2">
      <c r="B12" s="293">
        <v>4</v>
      </c>
      <c r="C12" s="296" t="s">
        <v>500</v>
      </c>
      <c r="D12" s="297">
        <f>VLOOKUP($C12,punten_rijder,2,0)+VLOOKUP($C12,snelste_ronde,2,0)</f>
        <v>10</v>
      </c>
      <c r="E12" s="297">
        <f>VLOOKUP($C12,punten_rijder,3,0)+VLOOKUP($C12,snelste_ronde,3,0)</f>
        <v>16</v>
      </c>
      <c r="F12" s="297">
        <f>VLOOKUP($C12,punten_rijder,4,0)+VLOOKUP($C12,snelste_ronde,4,0)</f>
        <v>10</v>
      </c>
      <c r="G12" s="297">
        <f>VLOOKUP($C12,punten_rijder,5,0)+VLOOKUP($C12,snelste_ronde,5,0)</f>
        <v>11</v>
      </c>
      <c r="H12" s="297">
        <f>VLOOKUP($C12,punten_rijder,6,0)+VLOOKUP($C12,snelste_ronde,6,0)</f>
        <v>10</v>
      </c>
      <c r="I12" s="297">
        <f>VLOOKUP($C12,punten_rijder,7,0)+VLOOKUP($C12,snelste_ronde,7,0)</f>
        <v>0</v>
      </c>
      <c r="J12" s="297">
        <f>VLOOKUP($C12,punten_rijder,8,0)+VLOOKUP($C12,snelste_ronde,8,0)</f>
        <v>15</v>
      </c>
      <c r="K12" s="297">
        <f>VLOOKUP($C12,punten_rijder,9,0)+VLOOKUP($C12,snelste_ronde,9,0)</f>
        <v>15</v>
      </c>
      <c r="L12" s="297">
        <f>VLOOKUP($C12,punten_rijder,10,0)+VLOOKUP($C12,snelste_ronde,10,0)</f>
        <v>18</v>
      </c>
      <c r="M12" s="297">
        <f>VLOOKUP($C12,punten_rijder,11,0)+VLOOKUP($C12,snelste_ronde,11,0)</f>
        <v>15</v>
      </c>
      <c r="N12" s="297">
        <f>VLOOKUP($C12,punten_rijder,12,0)+VLOOKUP($C12,snelste_ronde,12,0)</f>
        <v>0</v>
      </c>
      <c r="O12" s="297">
        <f>VLOOKUP($C12,punten_rijder,13,0)+VLOOKUP($C12,snelste_ronde,13,0)</f>
        <v>12</v>
      </c>
      <c r="P12" s="297">
        <f>VLOOKUP($C12,punten_rijder,14,0)+VLOOKUP($C12,snelste_ronde,14,0)</f>
        <v>25</v>
      </c>
      <c r="Q12" s="297">
        <f>VLOOKUP($C12,punten_rijder,15,0)+VLOOKUP($C12,snelste_ronde,15,0)</f>
        <v>25</v>
      </c>
      <c r="R12" s="297">
        <f>VLOOKUP($C12,punten_rijder,16,0)+VLOOKUP($C12,snelste_ronde,16,0)</f>
        <v>0</v>
      </c>
      <c r="S12" s="297">
        <f>VLOOKUP($C12,punten_rijder,17,0)+VLOOKUP($C12,snelste_ronde,17,0)</f>
        <v>0</v>
      </c>
      <c r="T12" s="297">
        <f>VLOOKUP($C12,punten_rijder,18,0)+VLOOKUP($C12,snelste_ronde,18,0)</f>
        <v>0</v>
      </c>
      <c r="U12" s="297">
        <f>VLOOKUP($C12,punten_rijder,19,0)+VLOOKUP($C12,snelste_ronde,19,0)</f>
        <v>0</v>
      </c>
      <c r="V12" s="297">
        <f>VLOOKUP($C12,punten_rijder,20,0)+VLOOKUP($C12,snelste_ronde,20,0)</f>
        <v>0</v>
      </c>
      <c r="W12" s="297">
        <f>VLOOKUP($C12,punten_rijder,21,0)+VLOOKUP($C12,snelste_ronde,21,0)</f>
        <v>0</v>
      </c>
      <c r="X12" s="297">
        <f>VLOOKUP($C12,punten_rijder,22,0)+VLOOKUP($C12,snelste_ronde,22,0)</f>
        <v>0</v>
      </c>
      <c r="Y12" s="297">
        <f>SUM(D12:X12)</f>
        <v>182</v>
      </c>
      <c r="Z12" s="547"/>
      <c r="AA12" s="288">
        <f t="shared" si="0"/>
        <v>5</v>
      </c>
      <c r="AB12" s="298" t="str">
        <f t="shared" si="3"/>
        <v>p</v>
      </c>
      <c r="AD12" s="548">
        <f t="shared" si="1"/>
        <v>2</v>
      </c>
      <c r="AE12" s="548"/>
      <c r="AF12" s="548"/>
      <c r="AH12" s="296" t="s">
        <v>67</v>
      </c>
      <c r="AI12" s="550">
        <v>4</v>
      </c>
      <c r="AK12" s="297">
        <f t="shared" si="4"/>
        <v>3</v>
      </c>
      <c r="AO12" s="545"/>
      <c r="AP12" s="553" t="s">
        <v>500</v>
      </c>
      <c r="AQ12" s="554">
        <f>IF(Blad1!$AC$2="C. Leclerc",25,0)+IF(Blad1!$AH$2="C. Leclerc",18,0)+IF(Blad1!$AM$2="C. Leclerc",15,0)+IF(Blad1!$AR$2="C. Leclerc",12,0)+IF(Blad1!$AW$2="C. Leclerc",10,0)+IF(Blad1!$BB$2="C. Leclerc",8,0)+IF(Blad1!$BG$2="C. Leclerc",6,0)+IF(Blad1!$BL$2="C. Leclerc",4,0)+IF(Blad1!$BQ$2="C. Leclerc",2,0)+IF(Blad1!$BV$2="C. Leclerc",1,0)</f>
        <v>10</v>
      </c>
      <c r="AR12" s="555">
        <f>IF(Blad1!$AC$3="C. Leclerc",25,0)+IF(Blad1!$AH$3="C. Leclerc",18,0)+IF(Blad1!$AM$3="C. Leclerc",15,0)+IF(Blad1!$AR$3="C. Leclerc",12,0)+IF(Blad1!$AW$3="C. Leclerc",10,0)+IF(Blad1!$BB$3="C. Leclerc",8,0)+IF(Blad1!$BG$3="C. Leclerc",6,0)+IF(Blad1!$BL$3="C. Leclerc",4,0)+IF(Blad1!$BQ$3="C. Leclerc",2,0)+IF(Blad1!$BV$3="C. Leclerc",1,0)</f>
        <v>15</v>
      </c>
      <c r="AS12" s="555">
        <f>IF(Blad1!$AC$4="C. Leclerc",25,0)+IF(Blad1!$AH$4="C. Leclerc",18,0)+IF(Blad1!$AM$4="C. Leclerc",15,0)+IF(Blad1!$AR$4="C. Leclerc",12,0)+IF(Blad1!$AW$4="C. Leclerc",10,0)+IF(Blad1!$BB$4="C. Leclerc",8,0)+IF(Blad1!$BG$4="C. Leclerc",6,0)+IF(Blad1!$BL$4="C. Leclerc",4,0)+IF(Blad1!$BQ$4="C. Leclerc",2,0)+IF(Blad1!$BV$4="C. Leclerc",1,0)</f>
        <v>10</v>
      </c>
      <c r="AT12" s="555">
        <f>IF(Blad1!$AC$5="C. Leclerc",25,0)+IF(Blad1!$AH$5="C. Leclerc",18,0)+IF(Blad1!$AM$5="C. Leclerc",15,0)+IF(Blad1!$AR$5="C. Leclerc",12,0)+IF(Blad1!$AW$5="C. Leclerc",10,0)+IF(Blad1!$BB$5="C. Leclerc",8,0)+IF(Blad1!$BG$5="C. Leclerc",6,0)+IF(Blad1!$BL$5="C. Leclerc",4,0)+IF(Blad1!$BQ$5="C. Leclerc",2,0)+IF(Blad1!$BV$5="C. Leclerc",1,0)</f>
        <v>10</v>
      </c>
      <c r="AU12" s="555">
        <f>IF(Blad1!$AC$6="C. Leclerc",25,0)+IF(Blad1!$AH$6="C. Leclerc",18,0)+IF(Blad1!$AM$6="C. Leclerc",15,0)+IF(Blad1!$AR$6="C. Leclerc",12,0)+IF(Blad1!$AW$6="C. Leclerc",10,0)+IF(Blad1!$BB$6="C. Leclerc",8,0)+IF(Blad1!$BG$6="C. Leclerc",6,0)+IF(Blad1!$BL$6="C. Leclerc",4,0)+IF(Blad1!$BQ$6="C. Leclerc",2,0)+IF(Blad1!$BV$6="C. Leclerc",1,0)</f>
        <v>10</v>
      </c>
      <c r="AV12" s="555">
        <f>IF(Blad1!$AC$7="C. Leclerc",25,0)+IF(Blad1!$AH$7="C. Leclerc",18,0)+IF(Blad1!$AM$7="C. Leclerc",15,0)+IF(Blad1!$AR$7="C. Leclerc",12,0)+IF(Blad1!$AW$7="C. Leclerc",10,0)+IF(Blad1!$BB$7="C. Leclerc",8,0)+IF(Blad1!$BG$7="C. Leclerc",6,0)+IF(Blad1!$BL$7="C. Leclerc",4,0)+IF(Blad1!$BQ$7="C. Leclerc",2,0)+IF(Blad1!$BV$7="C. Leclerc",1,0)</f>
        <v>0</v>
      </c>
      <c r="AW12" s="555">
        <f>IF(Blad1!$AC$8="C. Leclerc",25,0)+IF(Blad1!$AH$8="C. Leclerc",18,0)+IF(Blad1!$AM$8="C. Leclerc",15,0)+IF(Blad1!$AR$8="C. Leclerc",12,0)+IF(Blad1!$AW$8="C. Leclerc",10,0)+IF(Blad1!$BB$8="C. Leclerc",8,0)+IF(Blad1!$BG$8="C. Leclerc",6,0)+IF(Blad1!$BL$8="C. Leclerc",4,0)+IF(Blad1!$BQ$8="C. Leclerc",2,0)+IF(Blad1!$BV$8="C. Leclerc",1,0)</f>
        <v>15</v>
      </c>
      <c r="AX12" s="555">
        <f>IF(Blad1!$AC$9="C. Leclerc",25,0)+IF(Blad1!$AH$9="C. Leclerc",18,0)+IF(Blad1!$AM$9="C. Leclerc",15,0)+IF(Blad1!$AR$9="C. Leclerc",12,0)+IF(Blad1!$AW$9="C. Leclerc",10,0)+IF(Blad1!$BB$9="C. Leclerc",8,0)+IF(Blad1!$BG$9="C. Leclerc",6,0)+IF(Blad1!$BL$9="C. Leclerc",4,0)+IF(Blad1!$BQ$9="C. Leclerc",2,0)+IF(Blad1!$BV$9="C. Leclerc",1,0)</f>
        <v>15</v>
      </c>
      <c r="AY12" s="555">
        <f>IF(Blad1!$AC$10="C. Leclerc",25,0)+IF(Blad1!$AH$10="C. Leclerc",18,0)+IF(Blad1!$AM$10="C. Leclerc",15,0)+IF(Blad1!$AR$10="C. Leclerc",12,0)+IF(Blad1!$AW$10="C. Leclerc",10,0)+IF(Blad1!$BB$10="C. Leclerc",8,0)+IF(Blad1!$BG$10="C. Leclerc",6,0)+IF(Blad1!$BL$10="C. Leclerc",4,0)+IF(Blad1!$BQ$10="C. Leclerc",2,0)+IF(Blad1!$BV$10="C. Leclerc",1,0)</f>
        <v>18</v>
      </c>
      <c r="AZ12" s="555">
        <f>IF(Blad1!$AC$11="C. Leclerc",25,0)+IF(Blad1!$AH$11="C. Leclerc",18,0)+IF(Blad1!$AM$11="C. Leclerc",15,0)+IF(Blad1!$AR$11="C. Leclerc",12,0)+IF(Blad1!$AW$11="C. Leclerc",10,0)+IF(Blad1!$BB$11="C. Leclerc",8,0)+IF(Blad1!$BG$11="C. Leclerc",6,0)+IF(Blad1!$BL$11="C. Leclerc",4,0)+IF(Blad1!$BQ$11="C. Leclerc",2,0)+IF(Blad1!$BV$11="C. Leclerc",1,0)</f>
        <v>15</v>
      </c>
      <c r="BA12" s="555">
        <f>IF(Blad1!$AC$12="C. Leclerc",25,0)+IF(Blad1!$AH$12="C. Leclerc",18,0)+IF(Blad1!$AM$12="C. Leclerc",15,0)+IF(Blad1!$AR$12="C. Leclerc",12,0)+IF(Blad1!$AW$12="C. Leclerc",10,0)+IF(Blad1!$BB$12="C. Leclerc",8,0)+IF(Blad1!$BG$12="C. Leclerc",6,0)+IF(Blad1!$BL$12="C. Leclerc",4,0)+IF(Blad1!$BQ$12="C. Leclerc",2,0)+IF(Blad1!$BV$12="C. Leclerc",1,0)</f>
        <v>0</v>
      </c>
      <c r="BB12" s="555">
        <f>IF(Blad1!$AC$13="C. Leclerc",25,0)+IF(Blad1!$AH$13="C. Leclerc",18,0)+IF(Blad1!$AM$13="C. Leclerc",15,0)+IF(Blad1!$AR$13="C. Leclerc",12,0)+IF(Blad1!$AW$13="C. Leclerc",10,0)+IF(Blad1!$BB$13="C. Leclerc",8,0)+IF(Blad1!$BG$13="C. Leclerc",6,0)+IF(Blad1!$BL$13="C. Leclerc",4,0)+IF(Blad1!$BQ$13="C. Leclerc",2,0)+IF(Blad1!$BV$13="C. Leclerc",1,0)</f>
        <v>12</v>
      </c>
      <c r="BC12" s="555">
        <f>IF(Blad1!$AC$14="C. Leclerc",25,0)+IF(Blad1!$AH$14="C. Leclerc",18,0)+IF(Blad1!$AM$14="C. Leclerc",15,0)+IF(Blad1!$AR$14="C. Leclerc",12,0)+IF(Blad1!$AW$14="C. Leclerc",10,0)+IF(Blad1!$BB$14="C. Leclerc",8,0)+IF(Blad1!$BG$14="C. Leclerc",6,0)+IF(Blad1!$BL$14="C. Leclerc",4,0)+IF(Blad1!$BQ$14="C. Leclerc",2,0)+IF(Blad1!$BV$14="C. Leclerc",1,0)</f>
        <v>25</v>
      </c>
      <c r="BD12" s="555">
        <f>IF(Blad1!$AC$15="C. Leclerc",25,0)+IF(Blad1!$AH$15="C. Leclerc",18,0)+IF(Blad1!$AM$15="C. Leclerc",15,0)+IF(Blad1!$AR$15="C. Leclerc",12,0)+IF(Blad1!$AW$15="C. Leclerc",10,0)+IF(Blad1!$BB$15="C. Leclerc",8,0)+IF(Blad1!$BG$15="C. Leclerc",6,0)+IF(Blad1!$BL$15="C. Leclerc",4,0)+IF(Blad1!$BQ$15="C. Leclerc",2,0)+IF(Blad1!$BV$15="C. Leclerc",1,0)</f>
        <v>25</v>
      </c>
      <c r="BE12" s="555">
        <f>IF(Blad1!$AC$16="C. Leclerc",25,0)+IF(Blad1!$AH$16="C. Leclerc",18,0)+IF(Blad1!$AM$16="C. Leclerc",15,0)+IF(Blad1!$AR$16="C. Leclerc",12,0)+IF(Blad1!$AW$16="C. Leclerc",10,0)+IF(Blad1!$BB$16="C. Leclerc",8,0)+IF(Blad1!$BG$16="C. Leclerc",6,0)+IF(Blad1!$BL$16="C. Leclerc",4,0)+IF(Blad1!$BQ$16="C. Leclerc",2,0)+IF(Blad1!$BV$16="C. Leclerc",1,0)</f>
        <v>0</v>
      </c>
      <c r="BF12" s="555">
        <f>IF(Blad1!$AC$17="C. Leclerc",25,0)+IF(Blad1!$AH$17="C. Leclerc",18,0)+IF(Blad1!$AM$17="C. Leclerc",15,0)+IF(Blad1!$AR$17="C. Leclerc",12,0)+IF(Blad1!$AW$17="C. Leclerc",10,0)+IF(Blad1!$BB$17="C. Leclerc",8,0)+IF(Blad1!$BG$17="C. Leclerc",6,0)+IF(Blad1!$BL$17="C. Leclerc",4,0)+IF(Blad1!$BQ$17="C. Leclerc",2,0)+IF(Blad1!$BV$17="C. Leclerc",1,0)</f>
        <v>0</v>
      </c>
      <c r="BG12" s="555">
        <f>IF(Blad1!$AC$18="C. Leclerc",25,0)+IF(Blad1!$AH$18="C. Leclerc",18,0)+IF(Blad1!$AM$18="C. Leclerc",15,0)+IF(Blad1!$AR$18="C. Leclerc",12,0)+IF(Blad1!$AW$18="C. Leclerc",10,0)+IF(Blad1!$BB$18="C. Leclerc",8,0)+IF(Blad1!$BG$18="C. Leclerc",6,0)+IF(Blad1!$BL$18="C. Leclerc",4,0)+IF(Blad1!$BQ$18="C. Leclerc",2,0)+IF(Blad1!$BV$18="C. Leclerc",1,0)</f>
        <v>0</v>
      </c>
      <c r="BH12" s="555">
        <f>IF(Blad1!$AC$19="C. Leclerc",25,0)+IF(Blad1!$AH$19="C. Leclerc",18,0)+IF(Blad1!$AM$19="C. Leclerc",15,0)+IF(Blad1!$AR$19="C. Leclerc",12,0)+IF(Blad1!$AW$19="C. Leclerc",10,0)+IF(Blad1!$BB$19="C. Leclerc",8,0)+IF(Blad1!$BG$19="C. Leclerc",6,0)+IF(Blad1!$BL$19="C. Leclerc",4,0)+IF(Blad1!$BQ$19="C. Leclerc",2,0)+IF(Blad1!$BV$19="C. Leclerc",1,0)</f>
        <v>0</v>
      </c>
      <c r="BI12" s="555">
        <f>IF(Blad1!$AC$20="C. Leclerc",25,0)+IF(Blad1!$AH$20="C. Leclerc",18,0)+IF(Blad1!$AM$20="C. Leclerc",15,0)+IF(Blad1!$AR$20="C. Leclerc",12,0)+IF(Blad1!$AW$20="C. Leclerc",10,0)+IF(Blad1!$BB$20="C. Leclerc",8,0)+IF(Blad1!$BG$20="C. Leclerc",6,0)+IF(Blad1!$BL$20="C. Leclerc",4,0)+IF(Blad1!$BQ$20="C. Leclerc",2,0)+IF(Blad1!$BV$20="C. Leclerc",1,0)</f>
        <v>0</v>
      </c>
      <c r="BJ12" s="556">
        <f>IF(Blad1!$AC$21="C. Leclerc",25,0)+IF(Blad1!$AH$21="C. Leclerc",18,0)+IF(Blad1!$AM$21="C. Leclerc",15,0)+IF(Blad1!$AR$21="C. Leclerc",12,0)+IF(Blad1!$AW$21="C. Leclerc",10,0)+IF(Blad1!$BB$21="C. Leclerc",8,0)+IF(Blad1!$BG$21="C. Leclerc",6,0)+IF(Blad1!$BL$21="C. Leclerc",4,0)+IF(Blad1!$BQ$21="C. Leclerc",2,0)+IF(Blad1!$BV$21="C. Leclerc",1,0)</f>
        <v>0</v>
      </c>
      <c r="BK12" s="556">
        <f>IF(Blad1!$AC$22="C. Leclerc",25,0)+IF(Blad1!$AH$22="C. Leclerc",18,0)+IF(Blad1!$AM$22="C. Leclerc",15,0)+IF(Blad1!$AR$22="C. Leclerc",12,0)+IF(Blad1!$AW$22="C. Leclerc",10,0)+IF(Blad1!$BB$22="C. Leclerc",8,0)+IF(Blad1!$BG$22="C. Leclerc",6,0)+IF(Blad1!$BL$22="C. Leclerc",4,0)+IF(Blad1!$BQ$22="C. Leclerc",2,0)+IF(Blad1!$BV$22="C. Leclerc",1,0)</f>
        <v>0</v>
      </c>
      <c r="BL12" s="557">
        <f t="shared" si="5"/>
        <v>180</v>
      </c>
      <c r="BN12" s="762"/>
      <c r="BO12" s="759"/>
      <c r="BP12" s="750"/>
      <c r="BQ12" s="750"/>
      <c r="BR12" s="750"/>
      <c r="BS12" s="750"/>
      <c r="BT12" s="750"/>
      <c r="BU12" s="750"/>
      <c r="BV12" s="750"/>
      <c r="BW12" s="750"/>
      <c r="BX12" s="750"/>
      <c r="BY12" s="750"/>
      <c r="BZ12" s="750"/>
      <c r="CA12" s="750"/>
      <c r="CB12" s="750"/>
      <c r="CC12" s="750"/>
      <c r="CD12" s="750"/>
      <c r="CE12" s="750"/>
      <c r="CF12" s="750"/>
      <c r="CG12" s="750"/>
      <c r="CH12" s="750"/>
      <c r="CI12" s="755"/>
      <c r="CJ12" s="753"/>
      <c r="CL12" s="569" t="s">
        <v>500</v>
      </c>
      <c r="CM12" s="611">
        <f>IF(Blad1!Z$2=$CL12,1)*Blad1!EJ$2</f>
        <v>0</v>
      </c>
      <c r="CN12" s="609">
        <f>IF(Blad1!Z$3=$CL12,1)*Blad1!EJ$3</f>
        <v>1</v>
      </c>
      <c r="CO12" s="609">
        <f>IF(Blad1!Z$4=$CL12,1)*Blad1!EJ$4</f>
        <v>0</v>
      </c>
      <c r="CP12" s="609">
        <f>IF(Blad1!Z$5=$CL12,1)*Blad1!EJ$5</f>
        <v>1</v>
      </c>
      <c r="CQ12" s="609">
        <f>IF(Blad1!Z$6=$CL12,1)*Blad1!EJ$6</f>
        <v>0</v>
      </c>
      <c r="CR12" s="609">
        <f>IF(Blad1!Z$7=$CL12,1)*Blad1!EJ$7</f>
        <v>0</v>
      </c>
      <c r="CS12" s="609">
        <f>IF(Blad1!Z$8=$CL12,1)*Blad1!EJ$8</f>
        <v>0</v>
      </c>
      <c r="CT12" s="609">
        <f>IF(Blad1!Z$9=$CL12,1)*Blad1!EJ$9</f>
        <v>0</v>
      </c>
      <c r="CU12" s="609">
        <f>IF(Blad1!Z$10=$CL12,1)*Blad1!EJ$10</f>
        <v>0</v>
      </c>
      <c r="CV12" s="609">
        <f>IF(Blad1!Z$11=$CL12,1)*Blad1!EJ$11</f>
        <v>0</v>
      </c>
      <c r="CW12" s="609">
        <f>IF(Blad1!Z$12=$CL12,1)*Blad1!EJ$12</f>
        <v>0</v>
      </c>
      <c r="CX12" s="609">
        <f>IF(Blad1!Z$13=$CL12,1)*Blad1!EJ$13</f>
        <v>0</v>
      </c>
      <c r="CY12" s="609">
        <f>IF(Blad1!Z$14=$CL12,1)*Blad1!EJ$14</f>
        <v>0</v>
      </c>
      <c r="CZ12" s="609">
        <f>IF(Blad1!Z$15=$CL12,1)*Blad1!EJ$15</f>
        <v>0</v>
      </c>
      <c r="DA12" s="609">
        <f>IF(Blad1!Z$16=$CL12,1)*Blad1!EJ$16</f>
        <v>0</v>
      </c>
      <c r="DB12" s="609">
        <f>IF(Blad1!Z$17=$CL12,1)*Blad1!EJ$17</f>
        <v>0</v>
      </c>
      <c r="DC12" s="609">
        <f>IF(Blad1!Z$18=$CL12,1)*Blad1!EJ$18</f>
        <v>0</v>
      </c>
      <c r="DD12" s="609">
        <f>IF(Blad1!Z$19=$CL12,1)*Blad1!EJ$19</f>
        <v>0</v>
      </c>
      <c r="DE12" s="609">
        <f>IF(Blad1!Z$20=$CL12,1)*Blad1!EJ$20</f>
        <v>0</v>
      </c>
      <c r="DF12" s="609">
        <f>IF(Blad1!Z$21=$CL12,1)*Blad1!EJ$21</f>
        <v>0</v>
      </c>
      <c r="DG12" s="649">
        <f>IF(Blad1!Z$22=$CL12,1)*Blad1!EJ$22</f>
        <v>0</v>
      </c>
      <c r="DH12" s="652">
        <f t="shared" si="6"/>
        <v>2</v>
      </c>
    </row>
    <row r="13" spans="1:112" ht="15" customHeight="1" x14ac:dyDescent="0.2">
      <c r="B13" s="293">
        <v>5</v>
      </c>
      <c r="C13" s="296" t="s">
        <v>67</v>
      </c>
      <c r="D13" s="297">
        <f>VLOOKUP($C13,punten_rijder,2,0)+VLOOKUP($C13,snelste_ronde,2,0)</f>
        <v>12</v>
      </c>
      <c r="E13" s="297">
        <f>VLOOKUP($C13,punten_rijder,3,0)+VLOOKUP($C13,snelste_ronde,3,0)</f>
        <v>10</v>
      </c>
      <c r="F13" s="297">
        <f>VLOOKUP($C13,punten_rijder,4,0)+VLOOKUP($C13,snelste_ronde,4,0)</f>
        <v>15</v>
      </c>
      <c r="G13" s="297">
        <f>VLOOKUP($C13,punten_rijder,5,0)+VLOOKUP($C13,snelste_ronde,5,0)</f>
        <v>15</v>
      </c>
      <c r="H13" s="297">
        <f>VLOOKUP($C13,punten_rijder,6,0)+VLOOKUP($C13,snelste_ronde,6,0)</f>
        <v>12</v>
      </c>
      <c r="I13" s="297">
        <f>VLOOKUP($C13,punten_rijder,7,0)+VLOOKUP($C13,snelste_ronde,7,0)</f>
        <v>18</v>
      </c>
      <c r="J13" s="297">
        <f>VLOOKUP($C13,punten_rijder,8,0)+VLOOKUP($C13,snelste_ronde,8,0)</f>
        <v>18</v>
      </c>
      <c r="K13" s="297">
        <f>VLOOKUP($C13,punten_rijder,9,0)+VLOOKUP($C13,snelste_ronde,9,0)</f>
        <v>11</v>
      </c>
      <c r="L13" s="297">
        <f>VLOOKUP($C13,punten_rijder,10,0)+VLOOKUP($C13,snelste_ronde,10,0)</f>
        <v>12</v>
      </c>
      <c r="M13" s="297">
        <f>VLOOKUP($C13,punten_rijder,11,0)+VLOOKUP($C13,snelste_ronde,11,0)</f>
        <v>0</v>
      </c>
      <c r="N13" s="297">
        <f>VLOOKUP($C13,punten_rijder,12,0)+VLOOKUP($C13,snelste_ronde,12,0)</f>
        <v>18</v>
      </c>
      <c r="O13" s="297">
        <f>VLOOKUP($C13,punten_rijder,13,0)+VLOOKUP($C13,snelste_ronde,13,0)</f>
        <v>15</v>
      </c>
      <c r="P13" s="297">
        <f>VLOOKUP($C13,punten_rijder,14,0)+VLOOKUP($C13,snelste_ronde,14,0)</f>
        <v>13</v>
      </c>
      <c r="Q13" s="297">
        <f>VLOOKUP($C13,punten_rijder,15,0)+VLOOKUP($C13,snelste_ronde,15,0)</f>
        <v>0</v>
      </c>
      <c r="R13" s="297">
        <f>VLOOKUP($C13,punten_rijder,16,0)+VLOOKUP($C13,snelste_ronde,16,0)</f>
        <v>0</v>
      </c>
      <c r="S13" s="297">
        <f>VLOOKUP($C13,punten_rijder,17,0)+VLOOKUP($C13,snelste_ronde,17,0)</f>
        <v>0</v>
      </c>
      <c r="T13" s="297">
        <f>VLOOKUP($C13,punten_rijder,18,0)+VLOOKUP($C13,snelste_ronde,18,0)</f>
        <v>0</v>
      </c>
      <c r="U13" s="297">
        <f>VLOOKUP($C13,punten_rijder,19,0)+VLOOKUP($C13,snelste_ronde,19,0)</f>
        <v>0</v>
      </c>
      <c r="V13" s="297">
        <f>VLOOKUP($C13,punten_rijder,20,0)+VLOOKUP($C13,snelste_ronde,20,0)</f>
        <v>0</v>
      </c>
      <c r="W13" s="297">
        <f>VLOOKUP($C13,punten_rijder,21,0)+VLOOKUP($C13,snelste_ronde,21,0)</f>
        <v>0</v>
      </c>
      <c r="X13" s="297">
        <f>VLOOKUP($C13,punten_rijder,22,0)+VLOOKUP($C13,snelste_ronde,22,0)</f>
        <v>0</v>
      </c>
      <c r="Y13" s="297">
        <f>SUM(D13:X13)</f>
        <v>169</v>
      </c>
      <c r="Z13" s="547"/>
      <c r="AA13" s="288">
        <f t="shared" si="0"/>
        <v>4</v>
      </c>
      <c r="AB13" s="298" t="str">
        <f t="shared" si="3"/>
        <v>q</v>
      </c>
      <c r="AD13" s="548">
        <f t="shared" si="1"/>
        <v>3</v>
      </c>
      <c r="AE13" s="548"/>
      <c r="AF13" s="548"/>
      <c r="AH13" s="296" t="s">
        <v>500</v>
      </c>
      <c r="AI13" s="550">
        <v>5</v>
      </c>
      <c r="AK13" s="297">
        <f t="shared" si="4"/>
        <v>13</v>
      </c>
      <c r="AO13" s="545"/>
      <c r="AP13" s="553" t="s">
        <v>390</v>
      </c>
      <c r="AQ13" s="554">
        <f>IF(Blad1!$AC$2="M. Verstappen",25,0)+IF(Blad1!$AH$2="M. Verstappen",18,0)+IF(Blad1!$AM$2="M. Verstappen",15,0)+IF(Blad1!$AR$2="M. Verstappen",12,0)+IF(Blad1!$AW$2="M. Verstappen",10,0)+IF(Blad1!$BB$2="M. Verstappen",8,0)+IF(Blad1!$BG$2="M. Verstappen",6,0)+IF(Blad1!$BL$2="M. Verstappen",4,0)+IF(Blad1!$BQ$2="M. Verstappen",2,0)+IF(Blad1!$BV$2="M. Verstappen",1,0)</f>
        <v>15</v>
      </c>
      <c r="AR13" s="555">
        <f>IF(Blad1!$AC$3="M. Verstappen",25,0)+IF(Blad1!$AH$3="M. Verstappen",18,0)+IF(Blad1!$AM$3="M. Verstappen",15,0)+IF(Blad1!$AR$3="M. Verstappen",12,0)+IF(Blad1!$AW$3="M. Verstappen",10,0)+IF(Blad1!$BB$3="M. Verstappen",8,0)+IF(Blad1!$BG$3="M. Verstappen",6,0)+IF(Blad1!$BL$3="M. Verstappen",4,0)+IF(Blad1!$BQ$3="M. Verstappen",2,0)+IF(Blad1!$BV$3="M. Verstappen",1,0)</f>
        <v>12</v>
      </c>
      <c r="AS13" s="555">
        <f>IF(Blad1!$AC$4="M. Verstappen",25,0)+IF(Blad1!$AH$4="M. Verstappen",18,0)+IF(Blad1!$AM$4="M. Verstappen",15,0)+IF(Blad1!$AR$4="M. Verstappen",12,0)+IF(Blad1!$AW$4="M. Verstappen",10,0)+IF(Blad1!$BB$4="M. Verstappen",8,0)+IF(Blad1!$BG$4="M. Verstappen",6,0)+IF(Blad1!$BL$4="M. Verstappen",4,0)+IF(Blad1!$BQ$4="M. Verstappen",2,0)+IF(Blad1!$BV$4="M. Verstappen",1,0)</f>
        <v>12</v>
      </c>
      <c r="AT13" s="555">
        <f>IF(Blad1!$AC$5="M. Verstappen",25,0)+IF(Blad1!$AH$5="M. Verstappen",18,0)+IF(Blad1!$AM$5="M. Verstappen",15,0)+IF(Blad1!$AR$5="M. Verstappen",12,0)+IF(Blad1!$AW$5="M. Verstappen",10,0)+IF(Blad1!$BB$5="M. Verstappen",8,0)+IF(Blad1!$BG$5="M. Verstappen",6,0)+IF(Blad1!$BL$5="M. Verstappen",4,0)+IF(Blad1!$BQ$5="M. Verstappen",2,0)+IF(Blad1!$BV$5="M. Verstappen",1,0)</f>
        <v>12</v>
      </c>
      <c r="AU13" s="555">
        <f>IF(Blad1!$AC$6="M. Verstappen",25,0)+IF(Blad1!$AH$6="M. Verstappen",18,0)+IF(Blad1!$AM$6="M. Verstappen",15,0)+IF(Blad1!$AR$6="M. Verstappen",12,0)+IF(Blad1!$AW$6="M. Verstappen",10,0)+IF(Blad1!$BB$6="M. Verstappen",8,0)+IF(Blad1!$BG$6="M. Verstappen",6,0)+IF(Blad1!$BL$6="M. Verstappen",4,0)+IF(Blad1!$BQ$6="M. Verstappen",2,0)+IF(Blad1!$BV$6="M. Verstappen",1,0)</f>
        <v>15</v>
      </c>
      <c r="AV13" s="555">
        <f>IF(Blad1!$AC$7="M. Verstappen",25,0)+IF(Blad1!$AH$7="M. Verstappen",18,0)+IF(Blad1!$AM$7="M. Verstappen",15,0)+IF(Blad1!$AR$7="M. Verstappen",12,0)+IF(Blad1!$AW$7="M. Verstappen",10,0)+IF(Blad1!$BB$7="M. Verstappen",8,0)+IF(Blad1!$BG$7="M. Verstappen",6,0)+IF(Blad1!$BL$7="M. Verstappen",4,0)+IF(Blad1!$BQ$7="M. Verstappen",2,0)+IF(Blad1!$BV$7="M. Verstappen",1,0)</f>
        <v>12</v>
      </c>
      <c r="AW13" s="555">
        <f>IF(Blad1!$AC$8="M. Verstappen",25,0)+IF(Blad1!$AH$8="M. Verstappen",18,0)+IF(Blad1!$AM$8="M. Verstappen",15,0)+IF(Blad1!$AR$8="M. Verstappen",12,0)+IF(Blad1!$AW$8="M. Verstappen",10,0)+IF(Blad1!$BB$8="M. Verstappen",8,0)+IF(Blad1!$BG$8="M. Verstappen",6,0)+IF(Blad1!$BL$8="M. Verstappen",4,0)+IF(Blad1!$BQ$8="M. Verstappen",2,0)+IF(Blad1!$BV$8="M. Verstappen",1,0)</f>
        <v>10</v>
      </c>
      <c r="AX13" s="555">
        <f>IF(Blad1!$AC$9="M. Verstappen",25,0)+IF(Blad1!$AH$9="M. Verstappen",18,0)+IF(Blad1!$AM$9="M. Verstappen",15,0)+IF(Blad1!$AR$9="M. Verstappen",12,0)+IF(Blad1!$AW$9="M. Verstappen",10,0)+IF(Blad1!$BB$9="M. Verstappen",8,0)+IF(Blad1!$BG$9="M. Verstappen",6,0)+IF(Blad1!$BL$9="M. Verstappen",4,0)+IF(Blad1!$BQ$9="M. Verstappen",2,0)+IF(Blad1!$BV$9="M. Verstappen",1,0)</f>
        <v>12</v>
      </c>
      <c r="AY13" s="555">
        <f>IF(Blad1!$AC$10="M. Verstappen",25,0)+IF(Blad1!$AH$10="M. Verstappen",18,0)+IF(Blad1!$AM$10="M. Verstappen",15,0)+IF(Blad1!$AR$10="M. Verstappen",12,0)+IF(Blad1!$AW$10="M. Verstappen",10,0)+IF(Blad1!$BB$10="M. Verstappen",8,0)+IF(Blad1!$BG$10="M. Verstappen",6,0)+IF(Blad1!$BL$10="M. Verstappen",4,0)+IF(Blad1!$BQ$10="M. Verstappen",2,0)+IF(Blad1!$BV$10="M. Verstappen",1,0)</f>
        <v>25</v>
      </c>
      <c r="AZ13" s="555">
        <f>IF(Blad1!$AC$11="M. Verstappen",25,0)+IF(Blad1!$AH$11="M. Verstappen",18,0)+IF(Blad1!$AM$11="M. Verstappen",15,0)+IF(Blad1!$AR$11="M. Verstappen",12,0)+IF(Blad1!$AW$11="M. Verstappen",10,0)+IF(Blad1!$BB$11="M. Verstappen",8,0)+IF(Blad1!$BG$11="M. Verstappen",6,0)+IF(Blad1!$BL$11="M. Verstappen",4,0)+IF(Blad1!$BQ$11="M. Verstappen",2,0)+IF(Blad1!$BV$11="M. Verstappen",1,0)</f>
        <v>10</v>
      </c>
      <c r="BA13" s="555">
        <f>IF(Blad1!$AC$12="M. Verstappen",25,0)+IF(Blad1!$AH$12="M. Verstappen",18,0)+IF(Blad1!$AM$12="M. Verstappen",15,0)+IF(Blad1!$AR$12="M. Verstappen",12,0)+IF(Blad1!$AW$12="M. Verstappen",10,0)+IF(Blad1!$BB$12="M. Verstappen",8,0)+IF(Blad1!$BG$12="M. Verstappen",6,0)+IF(Blad1!$BL$12="M. Verstappen",4,0)+IF(Blad1!$BQ$12="M. Verstappen",2,0)+IF(Blad1!$BV$12="M. Verstappen",1,0)</f>
        <v>25</v>
      </c>
      <c r="BB13" s="555">
        <f>IF(Blad1!$AC$13="M. Verstappen",25,0)+IF(Blad1!$AH$13="M. Verstappen",18,0)+IF(Blad1!$AM$13="M. Verstappen",15,0)+IF(Blad1!$AR$13="M. Verstappen",12,0)+IF(Blad1!$AW$13="M. Verstappen",10,0)+IF(Blad1!$BB$13="M. Verstappen",8,0)+IF(Blad1!$BG$13="M. Verstappen",6,0)+IF(Blad1!$BL$13="M. Verstappen",4,0)+IF(Blad1!$BQ$13="M. Verstappen",2,0)+IF(Blad1!$BV$13="M. Verstappen",1,0)</f>
        <v>18</v>
      </c>
      <c r="BC13" s="555">
        <f>IF(Blad1!$AC$14="M. Verstappen",25,0)+IF(Blad1!$AH$14="M. Verstappen",18,0)+IF(Blad1!$AM$14="M. Verstappen",15,0)+IF(Blad1!$AR$14="M. Verstappen",12,0)+IF(Blad1!$AW$14="M. Verstappen",10,0)+IF(Blad1!$BB$14="M. Verstappen",8,0)+IF(Blad1!$BG$14="M. Verstappen",6,0)+IF(Blad1!$BL$14="M. Verstappen",4,0)+IF(Blad1!$BQ$14="M. Verstappen",2,0)+IF(Blad1!$BV$14="M. Verstappen",1,0)</f>
        <v>0</v>
      </c>
      <c r="BD13" s="555">
        <f>IF(Blad1!$AC$15="M. Verstappen",25,0)+IF(Blad1!$AH$15="M. Verstappen",18,0)+IF(Blad1!$AM$15="M. Verstappen",15,0)+IF(Blad1!$AR$15="M. Verstappen",12,0)+IF(Blad1!$AW$15="M. Verstappen",10,0)+IF(Blad1!$BB$15="M. Verstappen",8,0)+IF(Blad1!$BG$15="M. Verstappen",6,0)+IF(Blad1!$BL$15="M. Verstappen",4,0)+IF(Blad1!$BQ$15="M. Verstappen",2,0)+IF(Blad1!$BV$15="M. Verstappen",1,0)</f>
        <v>4</v>
      </c>
      <c r="BE13" s="555">
        <f>IF(Blad1!$AC$16="M. Verstappen",25,0)+IF(Blad1!$AH$16="M. Verstappen",18,0)+IF(Blad1!$AM$16="M. Verstappen",15,0)+IF(Blad1!$AR$16="M. Verstappen",12,0)+IF(Blad1!$AW$16="M. Verstappen",10,0)+IF(Blad1!$BB$16="M. Verstappen",8,0)+IF(Blad1!$BG$16="M. Verstappen",6,0)+IF(Blad1!$BL$16="M. Verstappen",4,0)+IF(Blad1!$BQ$16="M. Verstappen",2,0)+IF(Blad1!$BV$16="M. Verstappen",1,0)</f>
        <v>0</v>
      </c>
      <c r="BF13" s="555">
        <f>IF(Blad1!$AC$17="M. Verstappen",25,0)+IF(Blad1!$AH$17="M. Verstappen",18,0)+IF(Blad1!$AM$17="M. Verstappen",15,0)+IF(Blad1!$AR$17="M. Verstappen",12,0)+IF(Blad1!$AW$17="M. Verstappen",10,0)+IF(Blad1!$BB$17="M. Verstappen",8,0)+IF(Blad1!$BG$17="M. Verstappen",6,0)+IF(Blad1!$BL$17="M. Verstappen",4,0)+IF(Blad1!$BQ$17="M. Verstappen",2,0)+IF(Blad1!$BV$17="M. Verstappen",1,0)</f>
        <v>0</v>
      </c>
      <c r="BG13" s="555">
        <f>IF(Blad1!$AC$18="M. Verstappen",25,0)+IF(Blad1!$AH$18="M. Verstappen",18,0)+IF(Blad1!$AM$18="M. Verstappen",15,0)+IF(Blad1!$AR$18="M. Verstappen",12,0)+IF(Blad1!$AW$18="M. Verstappen",10,0)+IF(Blad1!$BB$18="M. Verstappen",8,0)+IF(Blad1!$BG$18="M. Verstappen",6,0)+IF(Blad1!$BL$18="M. Verstappen",4,0)+IF(Blad1!$BQ$18="M. Verstappen",2,0)+IF(Blad1!$BV$18="M. Verstappen",1,0)</f>
        <v>0</v>
      </c>
      <c r="BH13" s="555">
        <f>IF(Blad1!$AC$19="M. Verstappen",25,0)+IF(Blad1!$AH$19="M. Verstappen",18,0)+IF(Blad1!$AM$19="M. Verstappen",15,0)+IF(Blad1!$AR$19="M. Verstappen",12,0)+IF(Blad1!$AW$19="M. Verstappen",10,0)+IF(Blad1!$BB$19="M. Verstappen",8,0)+IF(Blad1!$BG$19="M. Verstappen",6,0)+IF(Blad1!$BL$19="M. Verstappen",4,0)+IF(Blad1!$BQ$19="M. Verstappen",2,0)+IF(Blad1!$BV$19="M. Verstappen",1,0)</f>
        <v>0</v>
      </c>
      <c r="BI13" s="555">
        <f>IF(Blad1!$AC$20="M. Verstappen",25,0)+IF(Blad1!$AH$20="M. Verstappen",18,0)+IF(Blad1!$AM$20="M. Verstappen",15,0)+IF(Blad1!$AR$20="M. Verstappen",12,0)+IF(Blad1!$AW$20="M. Verstappen",10,0)+IF(Blad1!$BB$20="M. Verstappen",8,0)+IF(Blad1!$BG$20="M. Verstappen",6,0)+IF(Blad1!$BL$20="M. Verstappen",4,0)+IF(Blad1!$BQ$20="M. Verstappen",2,0)+IF(Blad1!$BV$20="M. Verstappen",1,0)</f>
        <v>0</v>
      </c>
      <c r="BJ13" s="556">
        <f>IF(Blad1!$AC$21="M. Verstappen",25,0)+IF(Blad1!$AH$21="M. Verstappen",18,0)+IF(Blad1!$AM$21="M. Verstappen",15,0)+IF(Blad1!$AR$21="M. Verstappen",12,0)+IF(Blad1!$AW$21="M. Verstappen",10,0)+IF(Blad1!$BB$21="M. Verstappen",8,0)+IF(Blad1!$BG$21="M. Verstappen",6,0)+IF(Blad1!$BL$21="M. Verstappen",4,0)+IF(Blad1!$BQ$21="M. Verstappen",2,0)+IF(Blad1!$BV$21="M. Verstappen",1,0)</f>
        <v>0</v>
      </c>
      <c r="BK13" s="556">
        <f>IF(Blad1!$AC$22="M. Verstappen",25,0)+IF(Blad1!$AH$22="M. Verstappen",18,0)+IF(Blad1!$AM$22="M. Verstappen",15,0)+IF(Blad1!$AR$22="M. Verstappen",12,0)+IF(Blad1!$AW$22="M. Verstappen",10,0)+IF(Blad1!$BB$22="M. Verstappen",8,0)+IF(Blad1!$BG$22="M. Verstappen",6,0)+IF(Blad1!$BL$22="M. Verstappen",4,0)+IF(Blad1!$BQ$22="M. Verstappen",2,0)+IF(Blad1!$BV$22="M. Verstappen",1,0)</f>
        <v>0</v>
      </c>
      <c r="BL13" s="557">
        <f t="shared" si="5"/>
        <v>182</v>
      </c>
      <c r="BN13" s="762" t="s">
        <v>401</v>
      </c>
      <c r="BO13" s="759">
        <f t="shared" ref="BO13" si="29">AQ13+AQ14+CM13+CM14</f>
        <v>15</v>
      </c>
      <c r="BP13" s="750">
        <f t="shared" ref="BP13" si="30">AR13+AR14+CN13+CN14</f>
        <v>16</v>
      </c>
      <c r="BQ13" s="750">
        <f t="shared" ref="BQ13" si="31">AS13+AS14+CO13+CO14</f>
        <v>21</v>
      </c>
      <c r="BR13" s="750">
        <f t="shared" ref="BR13" si="32">AT13+AT14+CP13+CP14</f>
        <v>12</v>
      </c>
      <c r="BS13" s="750">
        <f t="shared" ref="BS13" si="33">AU13+AU14+CQ13+CQ14</f>
        <v>23</v>
      </c>
      <c r="BT13" s="750">
        <f t="shared" ref="BT13" si="34">AV13+AV14+CR13+CR14</f>
        <v>23</v>
      </c>
      <c r="BU13" s="750">
        <f t="shared" ref="BU13" si="35">AW13+AW14+CS13+CS14</f>
        <v>14</v>
      </c>
      <c r="BV13" s="750">
        <f t="shared" ref="BV13" si="36">AX13+AX14+CT13+CT14</f>
        <v>13</v>
      </c>
      <c r="BW13" s="750">
        <f t="shared" ref="BW13" si="37">AY13+AY14+CU13+CU14</f>
        <v>32</v>
      </c>
      <c r="BX13" s="750">
        <f t="shared" ref="BX13" si="38">AZ13+AZ14+CV13+CV14</f>
        <v>22</v>
      </c>
      <c r="BY13" s="750">
        <f>BA13+BA14+CW13+CW14</f>
        <v>26</v>
      </c>
      <c r="BZ13" s="750">
        <f t="shared" ref="BZ13" si="39">BB13+BB14+CX13+CX14</f>
        <v>27</v>
      </c>
      <c r="CA13" s="752">
        <f>BC13+BC26+CY13+CY26</f>
        <v>10</v>
      </c>
      <c r="CB13" s="752">
        <f t="shared" ref="CB13:CI13" si="40">BD13+BD26+CZ13+CZ26</f>
        <v>12</v>
      </c>
      <c r="CC13" s="752">
        <f t="shared" si="40"/>
        <v>0</v>
      </c>
      <c r="CD13" s="752">
        <f t="shared" si="40"/>
        <v>0</v>
      </c>
      <c r="CE13" s="752">
        <f t="shared" si="40"/>
        <v>0</v>
      </c>
      <c r="CF13" s="752">
        <f t="shared" si="40"/>
        <v>0</v>
      </c>
      <c r="CG13" s="752">
        <f t="shared" si="40"/>
        <v>0</v>
      </c>
      <c r="CH13" s="752">
        <f t="shared" si="40"/>
        <v>0</v>
      </c>
      <c r="CI13" s="779">
        <f t="shared" si="40"/>
        <v>0</v>
      </c>
      <c r="CJ13" s="753">
        <f t="shared" ref="CJ13" si="41">SUM(BO13:CH14)</f>
        <v>266</v>
      </c>
      <c r="CL13" s="569" t="s">
        <v>390</v>
      </c>
      <c r="CM13" s="611">
        <f>IF(Blad1!Z$2=$CL13,1)*Blad1!EJ$2</f>
        <v>0</v>
      </c>
      <c r="CN13" s="609">
        <f>IF(Blad1!Z$3=$CL13,1)*Blad1!EJ$3</f>
        <v>0</v>
      </c>
      <c r="CO13" s="609">
        <f>IF(Blad1!Z$4=$CL13,1)*Blad1!EJ$4</f>
        <v>0</v>
      </c>
      <c r="CP13" s="609">
        <f>IF(Blad1!Z$5=$CL13,1)*Blad1!EJ$5</f>
        <v>0</v>
      </c>
      <c r="CQ13" s="609">
        <f>IF(Blad1!Z$6=$CL13,1)*Blad1!EJ$6</f>
        <v>0</v>
      </c>
      <c r="CR13" s="609">
        <f>IF(Blad1!Z$7=$CL13,1)*Blad1!EJ$7</f>
        <v>0</v>
      </c>
      <c r="CS13" s="609">
        <f>IF(Blad1!Z$8=$CL13,1)*Blad1!EJ$8</f>
        <v>0</v>
      </c>
      <c r="CT13" s="609">
        <f>IF(Blad1!Z$9=$CL13,1)*Blad1!EJ$9</f>
        <v>0</v>
      </c>
      <c r="CU13" s="609">
        <f>IF(Blad1!Z$10=$CL13,1)*Blad1!EJ$10</f>
        <v>1</v>
      </c>
      <c r="CV13" s="609">
        <f>IF(Blad1!Z$11=$CL13,1)*Blad1!EJ$11</f>
        <v>0</v>
      </c>
      <c r="CW13" s="609">
        <f>IF(Blad1!Z$12=$CL13,1)*Blad1!EJ$12</f>
        <v>1</v>
      </c>
      <c r="CX13" s="609">
        <f>IF(Blad1!Z$13=$CL13,1)*Blad1!EJ$13</f>
        <v>1</v>
      </c>
      <c r="CY13" s="609">
        <f>IF(Blad1!Z$14=$CL13,1)*Blad1!EJ$14</f>
        <v>0</v>
      </c>
      <c r="CZ13" s="609">
        <f>IF(Blad1!Z$15=$CL13,1)*Blad1!EJ$15</f>
        <v>0</v>
      </c>
      <c r="DA13" s="609">
        <f>IF(Blad1!Z$16=$CL13,1)*Blad1!EJ$16</f>
        <v>0</v>
      </c>
      <c r="DB13" s="609">
        <f>IF(Blad1!Z$17=$CL13,1)*Blad1!EJ$17</f>
        <v>0</v>
      </c>
      <c r="DC13" s="609">
        <f>IF(Blad1!Z$18=$CL13,1)*Blad1!EJ$18</f>
        <v>0</v>
      </c>
      <c r="DD13" s="609">
        <f>IF(Blad1!Z$19=$CL13,1)*Blad1!EJ$19</f>
        <v>0</v>
      </c>
      <c r="DE13" s="609">
        <f>IF(Blad1!Z$20=$CL13,1)*Blad1!EJ$20</f>
        <v>0</v>
      </c>
      <c r="DF13" s="609">
        <f>IF(Blad1!Z$21=$CL13,1)*Blad1!EJ$21</f>
        <v>0</v>
      </c>
      <c r="DG13" s="649">
        <f>IF(Blad1!Z$22=$CL13,1)*Blad1!EJ$22</f>
        <v>0</v>
      </c>
      <c r="DH13" s="652">
        <f t="shared" si="6"/>
        <v>3</v>
      </c>
    </row>
    <row r="14" spans="1:112" ht="15" customHeight="1" x14ac:dyDescent="0.2">
      <c r="B14" s="293">
        <v>6</v>
      </c>
      <c r="C14" s="296" t="s">
        <v>496</v>
      </c>
      <c r="D14" s="297">
        <f>VLOOKUP($C14,punten_rijder,2,0)+VLOOKUP($C14,snelste_ronde,2,0)</f>
        <v>0</v>
      </c>
      <c r="E14" s="297">
        <f>VLOOKUP($C14,punten_rijder,3,0)+VLOOKUP($C14,snelste_ronde,3,0)</f>
        <v>4</v>
      </c>
      <c r="F14" s="297">
        <f>VLOOKUP($C14,punten_rijder,4,0)+VLOOKUP($C14,snelste_ronde,4,0)</f>
        <v>9</v>
      </c>
      <c r="G14" s="297">
        <f>VLOOKUP($C14,punten_rijder,5,0)+VLOOKUP($C14,snelste_ronde,5,0)</f>
        <v>0</v>
      </c>
      <c r="H14" s="297">
        <f>VLOOKUP($C14,punten_rijder,6,0)+VLOOKUP($C14,snelste_ronde,6,0)</f>
        <v>8</v>
      </c>
      <c r="I14" s="297">
        <f>VLOOKUP($C14,punten_rijder,7,0)+VLOOKUP($C14,snelste_ronde,7,0)</f>
        <v>11</v>
      </c>
      <c r="J14" s="297">
        <f>VLOOKUP($C14,punten_rijder,8,0)+VLOOKUP($C14,snelste_ronde,8,0)</f>
        <v>4</v>
      </c>
      <c r="K14" s="297">
        <f>VLOOKUP($C14,punten_rijder,9,0)+VLOOKUP($C14,snelste_ronde,9,0)</f>
        <v>1</v>
      </c>
      <c r="L14" s="297">
        <f>VLOOKUP($C14,punten_rijder,10,0)+VLOOKUP($C14,snelste_ronde,10,0)</f>
        <v>6</v>
      </c>
      <c r="M14" s="297">
        <f>VLOOKUP($C14,punten_rijder,11,0)+VLOOKUP($C14,snelste_ronde,11,0)</f>
        <v>12</v>
      </c>
      <c r="N14" s="297">
        <f>VLOOKUP($C14,punten_rijder,12,0)+VLOOKUP($C14,snelste_ronde,12,0)</f>
        <v>0</v>
      </c>
      <c r="O14" s="297">
        <f>VLOOKUP($C14,punten_rijder,13,0)+VLOOKUP($C14,snelste_ronde,13,0)</f>
        <v>8</v>
      </c>
      <c r="P14" s="297">
        <f>VLOOKUP($C14,punten_rijder,14,0)+VLOOKUP($C14,snelste_ronde,14,0)</f>
        <v>2</v>
      </c>
      <c r="Q14" s="297">
        <f>VLOOKUP($C14,punten_rijder,15,0)+VLOOKUP($C14,snelste_ronde,15,0)</f>
        <v>0</v>
      </c>
      <c r="R14" s="297">
        <f>VLOOKUP($C14,punten_rijder,16,0)+VLOOKUP($C14,snelste_ronde,16,0)</f>
        <v>0</v>
      </c>
      <c r="S14" s="297">
        <f>VLOOKUP($C14,punten_rijder,17,0)+VLOOKUP($C14,snelste_ronde,17,0)</f>
        <v>0</v>
      </c>
      <c r="T14" s="297">
        <f>VLOOKUP($C14,punten_rijder,18,0)+VLOOKUP($C14,snelste_ronde,18,0)</f>
        <v>0</v>
      </c>
      <c r="U14" s="297">
        <f>VLOOKUP($C14,punten_rijder,19,0)+VLOOKUP($C14,snelste_ronde,19,0)</f>
        <v>0</v>
      </c>
      <c r="V14" s="297">
        <f>VLOOKUP($C14,punten_rijder,20,0)+VLOOKUP($C14,snelste_ronde,20,0)</f>
        <v>0</v>
      </c>
      <c r="W14" s="297">
        <f>VLOOKUP($C14,punten_rijder,21,0)+VLOOKUP($C14,snelste_ronde,21,0)</f>
        <v>0</v>
      </c>
      <c r="X14" s="297">
        <f>VLOOKUP($C14,punten_rijder,22,0)+VLOOKUP($C14,snelste_ronde,22,0)</f>
        <v>0</v>
      </c>
      <c r="Y14" s="297">
        <f>SUM(D14:X14)</f>
        <v>65</v>
      </c>
      <c r="Z14" s="547"/>
      <c r="AA14" s="288">
        <f t="shared" si="0"/>
        <v>6</v>
      </c>
      <c r="AB14" s="298" t="str">
        <f t="shared" si="3"/>
        <v>¬</v>
      </c>
      <c r="AD14" s="548">
        <f t="shared" si="1"/>
        <v>1</v>
      </c>
      <c r="AE14" s="548"/>
      <c r="AF14" s="548"/>
      <c r="AH14" s="296" t="s">
        <v>496</v>
      </c>
      <c r="AI14" s="550">
        <v>6</v>
      </c>
      <c r="AK14" s="297">
        <f t="shared" si="4"/>
        <v>104</v>
      </c>
      <c r="AO14" s="545"/>
      <c r="AP14" s="553" t="s">
        <v>496</v>
      </c>
      <c r="AQ14" s="554">
        <f>IF(Blad1!$AC$2="P. Gasly",25,0)+IF(Blad1!$AH$2="P. Gasly",18,0)+IF(Blad1!$AM$2="P. Gasly",15,0)+IF(Blad1!$AR$2="P. Gasly",12,0)+IF(Blad1!$AW$2="P. Gasly",10,0)+IF(Blad1!$BB$2="P. Gasly",8,0)+IF(Blad1!$BG$2="P. Gasly",6,0)+IF(Blad1!$BL$2="P. Gasly",4,0)+IF(Blad1!$BQ$2="P. Gasly",2,0)+IF(Blad1!$BV$2="P. Gasly",1,0)</f>
        <v>0</v>
      </c>
      <c r="AR14" s="555">
        <f>IF(Blad1!$AC$3="P. Gasly",25,0)+IF(Blad1!$AH$3="P. Gasly",18,0)+IF(Blad1!$AM$3="P. Gasly",15,0)+IF(Blad1!$AR$3="P. Gasly",12,0)+IF(Blad1!$AW$3="P. Gasly",10,0)+IF(Blad1!$BB$3="P. Gasly",8,0)+IF(Blad1!$BG$3="P. Gasly",6,0)+IF(Blad1!$BL$3="P. Gasly",4,0)+IF(Blad1!$BQ$3="P. Gasly",2,0)+IF(Blad1!$BV$3="P. Gasly",1,0)</f>
        <v>4</v>
      </c>
      <c r="AS14" s="555">
        <f>IF(Blad1!$AC$4="P. Gasly",25,0)+IF(Blad1!$AH$4="P. Gasly",18,0)+IF(Blad1!$AM$4="P. Gasly",15,0)+IF(Blad1!$AR$4="P. Gasly",12,0)+IF(Blad1!$AW$4="P. Gasly",10,0)+IF(Blad1!$BB$4="P. Gasly",8,0)+IF(Blad1!$BG$4="P. Gasly",6,0)+IF(Blad1!$BL$4="P. Gasly",4,0)+IF(Blad1!$BQ$4="P. Gasly",2,0)+IF(Blad1!$BV$4="P. Gasly",1,0)</f>
        <v>8</v>
      </c>
      <c r="AT14" s="555">
        <f>IF(Blad1!$AC$5="P. Gasly",25,0)+IF(Blad1!$AH$5="P. Gasly",18,0)+IF(Blad1!$AM$5="P. Gasly",15,0)+IF(Blad1!$AR$5="P. Gasly",12,0)+IF(Blad1!$AW$5="P. Gasly",10,0)+IF(Blad1!$BB$5="P. Gasly",8,0)+IF(Blad1!$BG$5="P. Gasly",6,0)+IF(Blad1!$BL$5="P. Gasly",4,0)+IF(Blad1!$BQ$5="P. Gasly",2,0)+IF(Blad1!$BV$5="P. Gasly",1,0)</f>
        <v>0</v>
      </c>
      <c r="AU14" s="555">
        <f>IF(Blad1!$AC$6="P. Gasly",25,0)+IF(Blad1!$AH$6="P. Gasly",18,0)+IF(Blad1!$AM$6="P. Gasly",15,0)+IF(Blad1!$AR$6="P. Gasly",12,0)+IF(Blad1!$AW$6="P. Gasly",10,0)+IF(Blad1!$BB$6="P. Gasly",8,0)+IF(Blad1!$BG$6="P. Gasly",6,0)+IF(Blad1!$BL$6="P. Gasly",4,0)+IF(Blad1!$BQ$6="P. Gasly",2,0)+IF(Blad1!$BV$6="P. Gasly",1,0)</f>
        <v>8</v>
      </c>
      <c r="AV14" s="555">
        <f>IF(Blad1!$AC$7="P. Gasly",25,0)+IF(Blad1!$AH$7="P. Gasly",18,0)+IF(Blad1!$AM$7="P. Gasly",15,0)+IF(Blad1!$AR$7="P. Gasly",12,0)+IF(Blad1!$AW$7="P. Gasly",10,0)+IF(Blad1!$BB$7="P. Gasly",8,0)+IF(Blad1!$BG$7="P. Gasly",6,0)+IF(Blad1!$BL$7="P. Gasly",4,0)+IF(Blad1!$BQ$7="P. Gasly",2,0)+IF(Blad1!$BV$7="P. Gasly",1,0)</f>
        <v>10</v>
      </c>
      <c r="AW14" s="555">
        <f>IF(Blad1!$AC$8="P. Gasly",25,0)+IF(Blad1!$AH$8="P. Gasly",18,0)+IF(Blad1!$AM$8="P. Gasly",15,0)+IF(Blad1!$AR$8="P. Gasly",12,0)+IF(Blad1!$AW$8="P. Gasly",10,0)+IF(Blad1!$BB$8="P. Gasly",8,0)+IF(Blad1!$BG$8="P. Gasly",6,0)+IF(Blad1!$BL$8="P. Gasly",4,0)+IF(Blad1!$BQ$8="P. Gasly",2,0)+IF(Blad1!$BV$8="P. Gasly",1,0)</f>
        <v>4</v>
      </c>
      <c r="AX14" s="555">
        <f>IF(Blad1!$AC$9="P. Gasly",25,0)+IF(Blad1!$AH$9="P. Gasly",18,0)+IF(Blad1!$AM$9="P. Gasly",15,0)+IF(Blad1!$AR$9="P. Gasly",12,0)+IF(Blad1!$AW$9="P. Gasly",10,0)+IF(Blad1!$BB$9="P. Gasly",8,0)+IF(Blad1!$BG$9="P. Gasly",6,0)+IF(Blad1!$BL$9="P. Gasly",4,0)+IF(Blad1!$BQ$9="P. Gasly",2,0)+IF(Blad1!$BV$9="P. Gasly",1,0)</f>
        <v>1</v>
      </c>
      <c r="AY14" s="555">
        <f>IF(Blad1!$AC$10="P. Gasly",25,0)+IF(Blad1!$AH$10="P. Gasly",18,0)+IF(Blad1!$AM$10="P. Gasly",15,0)+IF(Blad1!$AR$10="P. Gasly",12,0)+IF(Blad1!$AW$10="P. Gasly",10,0)+IF(Blad1!$BB$10="P. Gasly",8,0)+IF(Blad1!$BG$10="P. Gasly",6,0)+IF(Blad1!$BL$10="P. Gasly",4,0)+IF(Blad1!$BQ$10="P. Gasly",2,0)+IF(Blad1!$BV$10="P. Gasly",1,0)</f>
        <v>6</v>
      </c>
      <c r="AZ14" s="555">
        <f>IF(Blad1!$AC$11="P. Gasly",25,0)+IF(Blad1!$AH$11="P. Gasly",18,0)+IF(Blad1!$AM$11="P. Gasly",15,0)+IF(Blad1!$AR$11="P. Gasly",12,0)+IF(Blad1!$AW$11="P. Gasly",10,0)+IF(Blad1!$BB$11="P. Gasly",8,0)+IF(Blad1!$BG$11="P. Gasly",6,0)+IF(Blad1!$BL$11="P. Gasly",4,0)+IF(Blad1!$BQ$11="P. Gasly",2,0)+IF(Blad1!$BV$11="P. Gasly",1,0)</f>
        <v>12</v>
      </c>
      <c r="BA14" s="555">
        <f>IF(Blad1!$AC$12="P. Gasly",25,0)+IF(Blad1!$AH$12="P. Gasly",18,0)+IF(Blad1!$AM$12="P. Gasly",15,0)+IF(Blad1!$AR$12="P. Gasly",12,0)+IF(Blad1!$AW$12="P. Gasly",10,0)+IF(Blad1!$BB$12="P. Gasly",8,0)+IF(Blad1!$BG$12="P. Gasly",6,0)+IF(Blad1!$BL$12="P. Gasly",4,0)+IF(Blad1!$BQ$12="P. Gasly",2,0)+IF(Blad1!$BV$12="P. Gasly",1,0)</f>
        <v>0</v>
      </c>
      <c r="BB14" s="555">
        <f>IF(Blad1!$AC$13="P. Gasly",25,0)+IF(Blad1!$AH$13="P. Gasly",18,0)+IF(Blad1!$AM$13="P. Gasly",15,0)+IF(Blad1!$AR$13="P. Gasly",12,0)+IF(Blad1!$AW$13="P. Gasly",10,0)+IF(Blad1!$BB$13="P. Gasly",8,0)+IF(Blad1!$BG$13="P. Gasly",6,0)+IF(Blad1!$BL$13="P. Gasly",4,0)+IF(Blad1!$BQ$13="P. Gasly",2,0)+IF(Blad1!$BV$13="P. Gasly",1,0)</f>
        <v>8</v>
      </c>
      <c r="BC14" s="693">
        <f>IF(Blad1!$AC$14="P. Gasly¹",25,0)+IF(Blad1!$AH$14="P. Gasly¹",18,0)+IF(Blad1!$AM$14="P. Gasly¹",15,0)+IF(Blad1!$AR$14="P. Gasly¹",12,0)+IF(Blad1!$AW$14="P. Gasly¹",10,0)+IF(Blad1!$BB$14="P. Gasly¹",8,0)+IF(Blad1!$BG$14="P. Gasly¹",6,0)+IF(Blad1!$BL$14="P. Gasly¹",4,0)+IF(Blad1!$BQ$14="P. Gasly¹",2,0)+IF(Blad1!$BV$14="P. Gasly¹",1,0)</f>
        <v>2</v>
      </c>
      <c r="BD14" s="693">
        <f>IF(Blad1!$AC$15="P. Gasly¹",25,0)+IF(Blad1!$AH$15="P. Gasly¹",18,0)+IF(Blad1!$AM$15="P. Gasly¹",15,0)+IF(Blad1!$AR$15="P. Gasly¹",12,0)+IF(Blad1!$AW$15="P. Gasly¹",10,0)+IF(Blad1!$BB$15="P. Gasly¹",8,0)+IF(Blad1!$BG$15="P. Gasly¹",6,0)+IF(Blad1!$BL$15="P. Gasly¹",4,0)+IF(Blad1!$BQ$15="P. Gasly¹",2,0)+IF(Blad1!$BV$15="P. Gasly¹",1,0)</f>
        <v>0</v>
      </c>
      <c r="BE14" s="693">
        <f>IF(Blad1!$AC$16="P. Gasly¹",25,0)+IF(Blad1!$AH$16="P. Gasly¹",18,0)+IF(Blad1!$AM$16="P. Gasly¹",15,0)+IF(Blad1!$AR$16="P. Gasly¹",12,0)+IF(Blad1!$AW$16="P. Gasly¹",10,0)+IF(Blad1!$BB$16="P. Gasly¹",8,0)+IF(Blad1!$BG$16="P. Gasly¹",6,0)+IF(Blad1!$BL$16="P. Gasly¹",4,0)+IF(Blad1!$BQ$16="P. Gasly¹",2,0)+IF(Blad1!$BV$16="P. Gasly¹",1,0)</f>
        <v>0</v>
      </c>
      <c r="BF14" s="693">
        <f>IF(Blad1!$AC$17="P. Gasly¹",25,0)+IF(Blad1!$AH$17="P. Gasly¹",18,0)+IF(Blad1!$AM$17="P. Gasly¹",15,0)+IF(Blad1!$AR$17="P. Gasly¹",12,0)+IF(Blad1!$AW$17="P. Gasly¹",10,0)+IF(Blad1!$BB$17="P. Gasly¹",8,0)+IF(Blad1!$BG$17="P. Gasly¹",6,0)+IF(Blad1!$BL$17="P. Gasly¹",4,0)+IF(Blad1!$BQ$17="P. Gasly¹",2,0)+IF(Blad1!$BV$17="P. Gasly¹",1,0)</f>
        <v>0</v>
      </c>
      <c r="BG14" s="693">
        <f>IF(Blad1!$AC$18="P. Gasly¹",25,0)+IF(Blad1!$AH$18="P. Gasly¹",18,0)+IF(Blad1!$AM$18="P. Gasly¹",15,0)+IF(Blad1!$AR$18="P. Gasly¹",12,0)+IF(Blad1!$AW$18="P. Gasly¹",10,0)+IF(Blad1!$BB$18="P. Gasly¹",8,0)+IF(Blad1!$BG$18="P. Gasly¹",6,0)+IF(Blad1!$BL$18="P. Gasly¹",4,0)+IF(Blad1!$BQ$18="P. Gasly¹",2,0)+IF(Blad1!$BV$18="P. Gasly¹",1,0)</f>
        <v>0</v>
      </c>
      <c r="BH14" s="693">
        <f>IF(Blad1!$AC$19="P. Gasly¹",25,0)+IF(Blad1!$AH$19="P. Gasly¹",18,0)+IF(Blad1!$AM$19="P. Gasly¹",15,0)+IF(Blad1!$AR$19="P. Gasly¹",12,0)+IF(Blad1!$AW$19="P. Gasly¹",10,0)+IF(Blad1!$BB$19="P. Gasly¹",8,0)+IF(Blad1!$BG$19="P. Gasly¹",6,0)+IF(Blad1!$BL$19="P. Gasly¹",4,0)+IF(Blad1!$BQ$19="P. Gasly¹",2,0)+IF(Blad1!$BV$19="P. Gasly¹",1,0)</f>
        <v>0</v>
      </c>
      <c r="BI14" s="693">
        <f>IF(Blad1!$AC$20="P. Gasly¹",25,0)+IF(Blad1!$AH$20="P. Gasly¹",18,0)+IF(Blad1!$AM$20="P. Gasly¹",15,0)+IF(Blad1!$AR$20="P. Gasly¹",12,0)+IF(Blad1!$AW$20="P. Gasly¹",10,0)+IF(Blad1!$BB$20="P. Gasly¹",8,0)+IF(Blad1!$BG$20="P. Gasly¹",6,0)+IF(Blad1!$BL$20="P. Gasly¹",4,0)+IF(Blad1!$BQ$20="P. Gasly¹",2,0)+IF(Blad1!$BV$20="P. Gasly¹",1,0)</f>
        <v>0</v>
      </c>
      <c r="BJ14" s="694">
        <f>IF(Blad1!$AC$21="P. Gasly¹",25,0)+IF(Blad1!$AH$21="P. Gasly¹",18,0)+IF(Blad1!$AM$21="P. Gasly¹",15,0)+IF(Blad1!$AR$21="P. Gasly¹",12,0)+IF(Blad1!$AW$21="P. Gasly¹",10,0)+IF(Blad1!$BB$21="P. Gasly¹",8,0)+IF(Blad1!$BG$21="P. Gasly¹",6,0)+IF(Blad1!$BL$21="P. Gasly¹",4,0)+IF(Blad1!$BQ$21="P. Gasly¹",2,0)+IF(Blad1!$BV$21="P. Gasly¹",1,0)</f>
        <v>0</v>
      </c>
      <c r="BK14" s="694">
        <f>IF(Blad1!$AC$22="P. Gasly¹",25,0)+IF(Blad1!$AH$22="P. Gasly¹",18,0)+IF(Blad1!$AM$22="P. Gasly¹",15,0)+IF(Blad1!$AR$22="P. Gasly¹",12,0)+IF(Blad1!$AW$22="P. Gasly¹",10,0)+IF(Blad1!$BB$22="P. Gasly¹",8,0)+IF(Blad1!$BG$22="P. Gasly¹",6,0)+IF(Blad1!$BL$22="P. Gasly¹",4,0)+IF(Blad1!$BQ$22="P. Gasly¹",2,0)+IF(Blad1!$BV$22="P. Gasly¹",1,0)</f>
        <v>0</v>
      </c>
      <c r="BL14" s="557">
        <f t="shared" si="5"/>
        <v>63</v>
      </c>
      <c r="BN14" s="762"/>
      <c r="BO14" s="759"/>
      <c r="BP14" s="750"/>
      <c r="BQ14" s="750"/>
      <c r="BR14" s="750"/>
      <c r="BS14" s="750"/>
      <c r="BT14" s="750"/>
      <c r="BU14" s="750"/>
      <c r="BV14" s="750"/>
      <c r="BW14" s="750"/>
      <c r="BX14" s="750"/>
      <c r="BY14" s="750"/>
      <c r="BZ14" s="750"/>
      <c r="CA14" s="752"/>
      <c r="CB14" s="752"/>
      <c r="CC14" s="752"/>
      <c r="CD14" s="752"/>
      <c r="CE14" s="752"/>
      <c r="CF14" s="752"/>
      <c r="CG14" s="752"/>
      <c r="CH14" s="752"/>
      <c r="CI14" s="779"/>
      <c r="CJ14" s="753"/>
      <c r="CL14" s="569" t="s">
        <v>496</v>
      </c>
      <c r="CM14" s="611">
        <f>IF(Blad1!Z$2=$CL14,1)*Blad1!EJ$2</f>
        <v>0</v>
      </c>
      <c r="CN14" s="609">
        <f>IF(Blad1!Z$3=$CL14,1)*Blad1!EJ$3</f>
        <v>0</v>
      </c>
      <c r="CO14" s="609">
        <f>IF(Blad1!Z$4=$CL14,1)*Blad1!EJ$4</f>
        <v>1</v>
      </c>
      <c r="CP14" s="609">
        <f>IF(Blad1!Z$5=$CL14,1)*Blad1!EJ$5</f>
        <v>0</v>
      </c>
      <c r="CQ14" s="609">
        <f>IF(Blad1!Z$6=$CL14,1)*Blad1!EJ$6</f>
        <v>0</v>
      </c>
      <c r="CR14" s="609">
        <f>IF(Blad1!Z$7=$CL14,1)*Blad1!EJ$7</f>
        <v>1</v>
      </c>
      <c r="CS14" s="609">
        <f>IF(Blad1!Z$8=$CL14,1)*Blad1!EJ$8</f>
        <v>0</v>
      </c>
      <c r="CT14" s="609">
        <f>IF(Blad1!Z$9=$CL14,1)*Blad1!EJ$9</f>
        <v>0</v>
      </c>
      <c r="CU14" s="609">
        <f>IF(Blad1!Z$10=$CL14,1)*Blad1!EJ$10</f>
        <v>0</v>
      </c>
      <c r="CV14" s="609">
        <f>IF(Blad1!Z$11=$CL14,1)*Blad1!EJ$11</f>
        <v>0</v>
      </c>
      <c r="CW14" s="609">
        <f>IF(Blad1!Z$12=$CL14,1)*Blad1!EJ$12</f>
        <v>0</v>
      </c>
      <c r="CX14" s="609">
        <f>IF(Blad1!Z$13=$CL14,1)*Blad1!EJ$13</f>
        <v>0</v>
      </c>
      <c r="CY14" s="699">
        <f>IF(Blad1!Z$14=$CL14,1)*Blad1!EJ$14</f>
        <v>0</v>
      </c>
      <c r="CZ14" s="699">
        <f>IF(Blad1!Z$15=$CL14,1)*Blad1!EJ$15</f>
        <v>0</v>
      </c>
      <c r="DA14" s="699">
        <f>IF(Blad1!Z$16=$CL14,1)*Blad1!EJ$16</f>
        <v>0</v>
      </c>
      <c r="DB14" s="699">
        <f>IF(Blad1!Z$17=$CL14,1)*Blad1!EJ$17</f>
        <v>0</v>
      </c>
      <c r="DC14" s="699">
        <f>IF(Blad1!Z$18=$CL14,1)*Blad1!EJ$18</f>
        <v>0</v>
      </c>
      <c r="DD14" s="699">
        <f>IF(Blad1!Z$19=$CL14,1)*Blad1!EJ$19</f>
        <v>0</v>
      </c>
      <c r="DE14" s="699">
        <f>IF(Blad1!Z$20=$CL14,1)*Blad1!EJ$20</f>
        <v>0</v>
      </c>
      <c r="DF14" s="699">
        <f>IF(Blad1!Z$21=$CL14,1)*Blad1!EJ$21</f>
        <v>0</v>
      </c>
      <c r="DG14" s="700">
        <f>IF(Blad1!Z$22=$CL14,1)*Blad1!EJ$22</f>
        <v>0</v>
      </c>
      <c r="DH14" s="652">
        <f t="shared" si="6"/>
        <v>2</v>
      </c>
    </row>
    <row r="15" spans="1:112" ht="15" customHeight="1" x14ac:dyDescent="0.2">
      <c r="B15" s="293">
        <v>7</v>
      </c>
      <c r="C15" s="296" t="s">
        <v>418</v>
      </c>
      <c r="D15" s="297">
        <f>VLOOKUP($C15,punten_rijder,2,0)+VLOOKUP($C15,snelste_ronde,2,0)</f>
        <v>0</v>
      </c>
      <c r="E15" s="297">
        <f>VLOOKUP($C15,punten_rijder,3,0)+VLOOKUP($C15,snelste_ronde,3,0)</f>
        <v>0</v>
      </c>
      <c r="F15" s="297">
        <f>VLOOKUP($C15,punten_rijder,4,0)+VLOOKUP($C15,snelste_ronde,4,0)</f>
        <v>0</v>
      </c>
      <c r="G15" s="297">
        <f>VLOOKUP($C15,punten_rijder,5,0)+VLOOKUP($C15,snelste_ronde,5,0)</f>
        <v>6</v>
      </c>
      <c r="H15" s="297">
        <f>VLOOKUP($C15,punten_rijder,6,0)+VLOOKUP($C15,snelste_ronde,6,0)</f>
        <v>4</v>
      </c>
      <c r="I15" s="297">
        <f>VLOOKUP($C15,punten_rijder,7,0)+VLOOKUP($C15,snelste_ronde,7,0)</f>
        <v>8</v>
      </c>
      <c r="J15" s="297">
        <f>VLOOKUP($C15,punten_rijder,8,0)+VLOOKUP($C15,snelste_ronde,8,0)</f>
        <v>0</v>
      </c>
      <c r="K15" s="297">
        <f>VLOOKUP($C15,punten_rijder,9,0)+VLOOKUP($C15,snelste_ronde,9,0)</f>
        <v>8</v>
      </c>
      <c r="L15" s="297">
        <f>VLOOKUP($C15,punten_rijder,10,0)+VLOOKUP($C15,snelste_ronde,10,0)</f>
        <v>4</v>
      </c>
      <c r="M15" s="297">
        <f>VLOOKUP($C15,punten_rijder,11,0)+VLOOKUP($C15,snelste_ronde,11,0)</f>
        <v>8</v>
      </c>
      <c r="N15" s="297">
        <f>VLOOKUP($C15,punten_rijder,12,0)+VLOOKUP($C15,snelste_ronde,12,0)</f>
        <v>10</v>
      </c>
      <c r="O15" s="297">
        <f>VLOOKUP($C15,punten_rijder,13,0)+VLOOKUP($C15,snelste_ronde,13,0)</f>
        <v>10</v>
      </c>
      <c r="P15" s="297">
        <f>VLOOKUP($C15,punten_rijder,14,0)+VLOOKUP($C15,snelste_ronde,14,0)</f>
        <v>0</v>
      </c>
      <c r="Q15" s="297">
        <f>VLOOKUP($C15,punten_rijder,15,0)+VLOOKUP($C15,snelste_ronde,15,0)</f>
        <v>0</v>
      </c>
      <c r="R15" s="297">
        <f>VLOOKUP($C15,punten_rijder,16,0)+VLOOKUP($C15,snelste_ronde,16,0)</f>
        <v>0</v>
      </c>
      <c r="S15" s="297">
        <f>VLOOKUP($C15,punten_rijder,17,0)+VLOOKUP($C15,snelste_ronde,17,0)</f>
        <v>0</v>
      </c>
      <c r="T15" s="297">
        <f>VLOOKUP($C15,punten_rijder,18,0)+VLOOKUP($C15,snelste_ronde,18,0)</f>
        <v>0</v>
      </c>
      <c r="U15" s="297">
        <f>VLOOKUP($C15,punten_rijder,19,0)+VLOOKUP($C15,snelste_ronde,19,0)</f>
        <v>0</v>
      </c>
      <c r="V15" s="297">
        <f>VLOOKUP($C15,punten_rijder,20,0)+VLOOKUP($C15,snelste_ronde,20,0)</f>
        <v>0</v>
      </c>
      <c r="W15" s="297">
        <f>VLOOKUP($C15,punten_rijder,21,0)+VLOOKUP($C15,snelste_ronde,21,0)</f>
        <v>0</v>
      </c>
      <c r="X15" s="297">
        <f>VLOOKUP($C15,punten_rijder,22,0)+VLOOKUP($C15,snelste_ronde,22,0)</f>
        <v>0</v>
      </c>
      <c r="Y15" s="297">
        <f>SUM(D15:X15)</f>
        <v>58</v>
      </c>
      <c r="Z15" s="547"/>
      <c r="AA15" s="288">
        <f t="shared" si="0"/>
        <v>7</v>
      </c>
      <c r="AB15" s="298" t="str">
        <f t="shared" si="3"/>
        <v>¬</v>
      </c>
      <c r="AD15" s="548">
        <f t="shared" si="1"/>
        <v>1</v>
      </c>
      <c r="AE15" s="548"/>
      <c r="AF15" s="548"/>
      <c r="AH15" s="296" t="s">
        <v>418</v>
      </c>
      <c r="AI15" s="550">
        <v>7</v>
      </c>
      <c r="AK15" s="297">
        <f t="shared" si="4"/>
        <v>7</v>
      </c>
      <c r="AO15" s="545"/>
      <c r="AP15" s="553" t="s">
        <v>348</v>
      </c>
      <c r="AQ15" s="554">
        <f>IF(Blad1!$AC$2="D. Ricciardo",25,0)+IF(Blad1!$AH$2="D. Ricciardo",18,0)+IF(Blad1!$AM$2="D. Ricciardo",15,0)+IF(Blad1!$AR$2="D. Ricciardo",12,0)+IF(Blad1!$AW$2="D. Ricciardo",10,0)+IF(Blad1!$BB$2="D. Ricciardo",8,0)+IF(Blad1!$BG$2="D. Ricciardo",6,0)+IF(Blad1!$BL$2="D. Ricciardo",4,0)+IF(Blad1!$BQ$2="D. Ricciardo",2,0)+IF(Blad1!$BV$2="D. Ricciardo",1,0)</f>
        <v>0</v>
      </c>
      <c r="AR15" s="555">
        <f>IF(Blad1!$AC$3="D. Ricciardo",25,0)+IF(Blad1!$AH$3="D. Ricciardo",18,0)+IF(Blad1!$AM$3="D. Ricciardo",15,0)+IF(Blad1!$AR$3="D. Ricciardo",12,0)+IF(Blad1!$AW$3="D. Ricciardo",10,0)+IF(Blad1!$BB$3="D. Ricciardo",8,0)+IF(Blad1!$BG$3="D. Ricciardo",6,0)+IF(Blad1!$BL$3="D. Ricciardo",4,0)+IF(Blad1!$BQ$3="D. Ricciardo",2,0)+IF(Blad1!$BV$3="D. Ricciardo",1,0)</f>
        <v>0</v>
      </c>
      <c r="AS15" s="555">
        <f>IF(Blad1!$AC$4="D. Ricciardo",25,0)+IF(Blad1!$AH$4="D. Ricciardo",18,0)+IF(Blad1!$AM$4="D. Ricciardo",15,0)+IF(Blad1!$AR$4="D. Ricciardo",12,0)+IF(Blad1!$AW$4="D. Ricciardo",10,0)+IF(Blad1!$BB$4="D. Ricciardo",8,0)+IF(Blad1!$BG$4="D. Ricciardo",6,0)+IF(Blad1!$BL$4="D. Ricciardo",4,0)+IF(Blad1!$BQ$4="D. Ricciardo",2,0)+IF(Blad1!$BV$4="D. Ricciardo",1,0)</f>
        <v>6</v>
      </c>
      <c r="AT15" s="555">
        <f>IF(Blad1!$AC$5="D. Ricciardo",25,0)+IF(Blad1!$AH$5="D. Ricciardo",18,0)+IF(Blad1!$AM$5="D. Ricciardo",15,0)+IF(Blad1!$AR$5="D. Ricciardo",12,0)+IF(Blad1!$AW$5="D. Ricciardo",10,0)+IF(Blad1!$BB$5="D. Ricciardo",8,0)+IF(Blad1!$BG$5="D. Ricciardo",6,0)+IF(Blad1!$BL$5="D. Ricciardo",4,0)+IF(Blad1!$BQ$5="D. Ricciardo",2,0)+IF(Blad1!$BV$5="D. Ricciardo",1,0)</f>
        <v>0</v>
      </c>
      <c r="AU15" s="555">
        <f>IF(Blad1!$AC$6="D. Ricciardo",25,0)+IF(Blad1!$AH$6="D. Ricciardo",18,0)+IF(Blad1!$AM$6="D. Ricciardo",15,0)+IF(Blad1!$AR$6="D. Ricciardo",12,0)+IF(Blad1!$AW$6="D. Ricciardo",10,0)+IF(Blad1!$BB$6="D. Ricciardo",8,0)+IF(Blad1!$BG$6="D. Ricciardo",6,0)+IF(Blad1!$BL$6="D. Ricciardo",4,0)+IF(Blad1!$BQ$6="D. Ricciardo",2,0)+IF(Blad1!$BV$6="D. Ricciardo",1,0)</f>
        <v>0</v>
      </c>
      <c r="AV15" s="555">
        <f>IF(Blad1!$AC$7="D. Ricciardo",25,0)+IF(Blad1!$AH$7="D. Ricciardo",18,0)+IF(Blad1!$AM$7="D. Ricciardo",15,0)+IF(Blad1!$AR$7="D. Ricciardo",12,0)+IF(Blad1!$AW$7="D. Ricciardo",10,0)+IF(Blad1!$BB$7="D. Ricciardo",8,0)+IF(Blad1!$BG$7="D. Ricciardo",6,0)+IF(Blad1!$BL$7="D. Ricciardo",4,0)+IF(Blad1!$BQ$7="D. Ricciardo",2,0)+IF(Blad1!$BV$7="D. Ricciardo",1,0)</f>
        <v>2</v>
      </c>
      <c r="AW15" s="555">
        <f>IF(Blad1!$AC$8="D. Ricciardo",25,0)+IF(Blad1!$AH$8="D. Ricciardo",18,0)+IF(Blad1!$AM$8="D. Ricciardo",15,0)+IF(Blad1!$AR$8="D. Ricciardo",12,0)+IF(Blad1!$AW$8="D. Ricciardo",10,0)+IF(Blad1!$BB$8="D. Ricciardo",8,0)+IF(Blad1!$BG$8="D. Ricciardo",6,0)+IF(Blad1!$BL$8="D. Ricciardo",4,0)+IF(Blad1!$BQ$8="D. Ricciardo",2,0)+IF(Blad1!$BV$8="D. Ricciardo",1,0)</f>
        <v>8</v>
      </c>
      <c r="AX15" s="555">
        <f>IF(Blad1!$AC$9="D. Ricciardo",25,0)+IF(Blad1!$AH$9="D. Ricciardo",18,0)+IF(Blad1!$AM$9="D. Ricciardo",15,0)+IF(Blad1!$AR$9="D. Ricciardo",12,0)+IF(Blad1!$AW$9="D. Ricciardo",10,0)+IF(Blad1!$BB$9="D. Ricciardo",8,0)+IF(Blad1!$BG$9="D. Ricciardo",6,0)+IF(Blad1!$BL$9="D. Ricciardo",4,0)+IF(Blad1!$BQ$9="D. Ricciardo",2,0)+IF(Blad1!$BV$9="D. Ricciardo",1,0)</f>
        <v>0</v>
      </c>
      <c r="AY15" s="555">
        <f>IF(Blad1!$AC$10="D. Ricciardo",25,0)+IF(Blad1!$AH$10="D. Ricciardo",18,0)+IF(Blad1!$AM$10="D. Ricciardo",15,0)+IF(Blad1!$AR$10="D. Ricciardo",12,0)+IF(Blad1!$AW$10="D. Ricciardo",10,0)+IF(Blad1!$BB$10="D. Ricciardo",8,0)+IF(Blad1!$BG$10="D. Ricciardo",6,0)+IF(Blad1!$BL$10="D. Ricciardo",4,0)+IF(Blad1!$BQ$10="D. Ricciardo",2,0)+IF(Blad1!$BV$10="D. Ricciardo",1,0)</f>
        <v>0</v>
      </c>
      <c r="AZ15" s="555">
        <f>IF(Blad1!$AC$11="D. Ricciardo",25,0)+IF(Blad1!$AH$11="D. Ricciardo",18,0)+IF(Blad1!$AM$11="D. Ricciardo",15,0)+IF(Blad1!$AR$11="D. Ricciardo",12,0)+IF(Blad1!$AW$11="D. Ricciardo",10,0)+IF(Blad1!$BB$11="D. Ricciardo",8,0)+IF(Blad1!$BG$11="D. Ricciardo",6,0)+IF(Blad1!$BL$11="D. Ricciardo",4,0)+IF(Blad1!$BQ$11="D. Ricciardo",2,0)+IF(Blad1!$BV$11="D. Ricciardo",1,0)</f>
        <v>6</v>
      </c>
      <c r="BA15" s="555">
        <f>IF(Blad1!$AC$12="D. Ricciardo",25,0)+IF(Blad1!$AH$12="D. Ricciardo",18,0)+IF(Blad1!$AM$12="D. Ricciardo",15,0)+IF(Blad1!$AR$12="D. Ricciardo",12,0)+IF(Blad1!$AW$12="D. Ricciardo",10,0)+IF(Blad1!$BB$12="D. Ricciardo",8,0)+IF(Blad1!$BG$12="D. Ricciardo",6,0)+IF(Blad1!$BL$12="D. Ricciardo",4,0)+IF(Blad1!$BQ$12="D. Ricciardo",2,0)+IF(Blad1!$BV$12="D. Ricciardo",1,0)</f>
        <v>0</v>
      </c>
      <c r="BB15" s="555">
        <f>IF(Blad1!$AC$13="D. Ricciardo",25,0)+IF(Blad1!$AH$13="D. Ricciardo",18,0)+IF(Blad1!$AM$13="D. Ricciardo",15,0)+IF(Blad1!$AR$13="D. Ricciardo",12,0)+IF(Blad1!$AW$13="D. Ricciardo",10,0)+IF(Blad1!$BB$13="D. Ricciardo",8,0)+IF(Blad1!$BG$13="D. Ricciardo",6,0)+IF(Blad1!$BL$13="D. Ricciardo",4,0)+IF(Blad1!$BQ$13="D. Ricciardo",2,0)+IF(Blad1!$BV$13="D. Ricciardo",1,0)</f>
        <v>0</v>
      </c>
      <c r="BC15" s="555">
        <f>IF(Blad1!$AC$14="D. Ricciardo",25,0)+IF(Blad1!$AH$14="D. Ricciardo",18,0)+IF(Blad1!$AM$14="D. Ricciardo",15,0)+IF(Blad1!$AR$14="D. Ricciardo",12,0)+IF(Blad1!$AW$14="D. Ricciardo",10,0)+IF(Blad1!$BB$14="D. Ricciardo",8,0)+IF(Blad1!$BG$14="D. Ricciardo",6,0)+IF(Blad1!$BL$14="D. Ricciardo",4,0)+IF(Blad1!$BQ$14="D. Ricciardo",2,0)+IF(Blad1!$BV$14="D. Ricciardo",1,0)</f>
        <v>0</v>
      </c>
      <c r="BD15" s="555">
        <f>IF(Blad1!$AC$15="D. Ricciardo",25,0)+IF(Blad1!$AH$15="D. Ricciardo",18,0)+IF(Blad1!$AM$15="D. Ricciardo",15,0)+IF(Blad1!$AR$15="D. Ricciardo",12,0)+IF(Blad1!$AW$15="D. Ricciardo",10,0)+IF(Blad1!$BB$15="D. Ricciardo",8,0)+IF(Blad1!$BG$15="D. Ricciardo",6,0)+IF(Blad1!$BL$15="D. Ricciardo",4,0)+IF(Blad1!$BQ$15="D. Ricciardo",2,0)+IF(Blad1!$BV$15="D. Ricciardo",1,0)</f>
        <v>12</v>
      </c>
      <c r="BE15" s="555">
        <f>IF(Blad1!$AC$16="D. Ricciardo",25,0)+IF(Blad1!$AH$16="D. Ricciardo",18,0)+IF(Blad1!$AM$16="D. Ricciardo",15,0)+IF(Blad1!$AR$16="D. Ricciardo",12,0)+IF(Blad1!$AW$16="D. Ricciardo",10,0)+IF(Blad1!$BB$16="D. Ricciardo",8,0)+IF(Blad1!$BG$16="D. Ricciardo",6,0)+IF(Blad1!$BL$16="D. Ricciardo",4,0)+IF(Blad1!$BQ$16="D. Ricciardo",2,0)+IF(Blad1!$BV$16="D. Ricciardo",1,0)</f>
        <v>0</v>
      </c>
      <c r="BF15" s="555">
        <f>IF(Blad1!$AC$17="D. Ricciardo",25,0)+IF(Blad1!$AH$17="D. Ricciardo",18,0)+IF(Blad1!$AM$17="D. Ricciardo",15,0)+IF(Blad1!$AR$17="D. Ricciardo",12,0)+IF(Blad1!$AW$17="D. Ricciardo",10,0)+IF(Blad1!$BB$17="D. Ricciardo",8,0)+IF(Blad1!$BG$17="D. Ricciardo",6,0)+IF(Blad1!$BL$17="D. Ricciardo",4,0)+IF(Blad1!$BQ$17="D. Ricciardo",2,0)+IF(Blad1!$BV$17="D. Ricciardo",1,0)</f>
        <v>0</v>
      </c>
      <c r="BG15" s="555">
        <f>IF(Blad1!$AC$18="D. Ricciardo",25,0)+IF(Blad1!$AH$18="D. Ricciardo",18,0)+IF(Blad1!$AM$18="D. Ricciardo",15,0)+IF(Blad1!$AR$18="D. Ricciardo",12,0)+IF(Blad1!$AW$18="D. Ricciardo",10,0)+IF(Blad1!$BB$18="D. Ricciardo",8,0)+IF(Blad1!$BG$18="D. Ricciardo",6,0)+IF(Blad1!$BL$18="D. Ricciardo",4,0)+IF(Blad1!$BQ$18="D. Ricciardo",2,0)+IF(Blad1!$BV$18="D. Ricciardo",1,0)</f>
        <v>0</v>
      </c>
      <c r="BH15" s="555">
        <f>IF(Blad1!$AC$19="D. Ricciardo",25,0)+IF(Blad1!$AH$19="D. Ricciardo",18,0)+IF(Blad1!$AM$19="D. Ricciardo",15,0)+IF(Blad1!$AR$19="D. Ricciardo",12,0)+IF(Blad1!$AW$19="D. Ricciardo",10,0)+IF(Blad1!$BB$19="D. Ricciardo",8,0)+IF(Blad1!$BG$19="D. Ricciardo",6,0)+IF(Blad1!$BL$19="D. Ricciardo",4,0)+IF(Blad1!$BQ$19="D. Ricciardo",2,0)+IF(Blad1!$BV$19="D. Ricciardo",1,0)</f>
        <v>0</v>
      </c>
      <c r="BI15" s="555">
        <f>IF(Blad1!$AC$20="D. Ricciardo",25,0)+IF(Blad1!$AH$20="D. Ricciardo",18,0)+IF(Blad1!$AM$20="D. Ricciardo",15,0)+IF(Blad1!$AR$20="D. Ricciardo",12,0)+IF(Blad1!$AW$20="D. Ricciardo",10,0)+IF(Blad1!$BB$20="D. Ricciardo",8,0)+IF(Blad1!$BG$20="D. Ricciardo",6,0)+IF(Blad1!$BL$20="D. Ricciardo",4,0)+IF(Blad1!$BQ$20="D. Ricciardo",2,0)+IF(Blad1!$BV$20="D. Ricciardo",1,0)</f>
        <v>0</v>
      </c>
      <c r="BJ15" s="556">
        <f>IF(Blad1!$AC$21="D. Ricciardo",25,0)+IF(Blad1!$AH$21="D. Ricciardo",18,0)+IF(Blad1!$AM$21="D. Ricciardo",15,0)+IF(Blad1!$AR$21="D. Ricciardo",12,0)+IF(Blad1!$AW$21="D. Ricciardo",10,0)+IF(Blad1!$BB$21="D. Ricciardo",8,0)+IF(Blad1!$BG$21="D. Ricciardo",6,0)+IF(Blad1!$BL$21="D. Ricciardo",4,0)+IF(Blad1!$BQ$21="D. Ricciardo",2,0)+IF(Blad1!$BV$21="D. Ricciardo",1,0)</f>
        <v>0</v>
      </c>
      <c r="BK15" s="556">
        <f>IF(Blad1!$AC$22="D. Ricciardo",25,0)+IF(Blad1!$AH$22="D. Ricciardo",18,0)+IF(Blad1!$AM$22="D. Ricciardo",15,0)+IF(Blad1!$AR$22="D. Ricciardo",12,0)+IF(Blad1!$AW$22="D. Ricciardo",10,0)+IF(Blad1!$BB$22="D. Ricciardo",8,0)+IF(Blad1!$BG$22="D. Ricciardo",6,0)+IF(Blad1!$BL$22="D. Ricciardo",4,0)+IF(Blad1!$BQ$22="D. Ricciardo",2,0)+IF(Blad1!$BV$22="D. Ricciardo",1,0)</f>
        <v>0</v>
      </c>
      <c r="BL15" s="557">
        <f t="shared" si="5"/>
        <v>34</v>
      </c>
      <c r="BN15" s="762" t="s">
        <v>397</v>
      </c>
      <c r="BO15" s="759">
        <f t="shared" ref="BO15" si="42">AQ15+AQ16+CM15+CM16</f>
        <v>6</v>
      </c>
      <c r="BP15" s="750">
        <f t="shared" ref="BP15" si="43">AR15+AR16+CN15+CN16</f>
        <v>0</v>
      </c>
      <c r="BQ15" s="750">
        <f t="shared" ref="BQ15" si="44">AS15+AS16+CO15+CO16</f>
        <v>6</v>
      </c>
      <c r="BR15" s="750">
        <f t="shared" ref="BR15" si="45">AT15+AT16+CP15+CP16</f>
        <v>0</v>
      </c>
      <c r="BS15" s="750">
        <f t="shared" ref="BS15" si="46">AU15+AU16+CQ15+CQ16</f>
        <v>0</v>
      </c>
      <c r="BT15" s="750">
        <f t="shared" ref="BT15" si="47">AV15+AV16+CR15+CR16</f>
        <v>2</v>
      </c>
      <c r="BU15" s="750">
        <f t="shared" ref="BU15" si="48">AW15+AW16+CS15+CS16</f>
        <v>14</v>
      </c>
      <c r="BV15" s="750">
        <f t="shared" ref="BV15" si="49">AX15+AX16+CT15+CT16</f>
        <v>4</v>
      </c>
      <c r="BW15" s="750">
        <f t="shared" ref="BW15" si="50">AY15+AY16+CU15+CU16</f>
        <v>0</v>
      </c>
      <c r="BX15" s="750">
        <f t="shared" ref="BX15" si="51">AZ15+AZ16+CV15+CV16</f>
        <v>7</v>
      </c>
      <c r="BY15" s="750">
        <f t="shared" ref="BY15" si="52">BA15+BA16+CW15+CW16</f>
        <v>0</v>
      </c>
      <c r="BZ15" s="750">
        <f t="shared" ref="BZ15" si="53">BB15+BB16+CX15+CX16</f>
        <v>0</v>
      </c>
      <c r="CA15" s="750">
        <f t="shared" ref="CA15" si="54">BC15+BC16+CY15+CY16</f>
        <v>4</v>
      </c>
      <c r="CB15" s="750">
        <f t="shared" ref="CB15" si="55">BD15+BD16+CZ15+CZ16</f>
        <v>22</v>
      </c>
      <c r="CC15" s="750">
        <f t="shared" ref="CC15" si="56">BE15+BE16+DA15+DA16</f>
        <v>0</v>
      </c>
      <c r="CD15" s="750">
        <f t="shared" ref="CD15" si="57">BF15+BF16+DB15+DB16</f>
        <v>0</v>
      </c>
      <c r="CE15" s="750">
        <f t="shared" ref="CE15" si="58">BG15+BG16+DC15+DC16</f>
        <v>0</v>
      </c>
      <c r="CF15" s="750">
        <f t="shared" ref="CF15" si="59">BH15+BH16+DD15+DD16</f>
        <v>0</v>
      </c>
      <c r="CG15" s="750">
        <f t="shared" ref="CG15" si="60">BI15+BI16+DE15+DE16</f>
        <v>0</v>
      </c>
      <c r="CH15" s="750">
        <f t="shared" ref="CH15" si="61">BJ15+BJ16+DF15+DF16</f>
        <v>0</v>
      </c>
      <c r="CI15" s="755">
        <f t="shared" ref="CI15" si="62">BK15+BK16+DG15+DG16</f>
        <v>0</v>
      </c>
      <c r="CJ15" s="753">
        <f t="shared" ref="CJ15" si="63">SUM(BO15:CH16)</f>
        <v>65</v>
      </c>
      <c r="CL15" s="569" t="s">
        <v>348</v>
      </c>
      <c r="CM15" s="611">
        <f>IF(Blad1!Z$2=$CL15,1)*Blad1!EJ$2</f>
        <v>0</v>
      </c>
      <c r="CN15" s="609">
        <f>IF(Blad1!Z$3=$CL15,1)*Blad1!EJ$3</f>
        <v>0</v>
      </c>
      <c r="CO15" s="609">
        <f>IF(Blad1!Z$4=$CL15,1)*Blad1!EJ$4</f>
        <v>0</v>
      </c>
      <c r="CP15" s="609">
        <f>IF(Blad1!Z$5=$CL15,1)*Blad1!EJ$5</f>
        <v>0</v>
      </c>
      <c r="CQ15" s="609">
        <f>IF(Blad1!Z$6=$CL15,1)*Blad1!EJ$6</f>
        <v>0</v>
      </c>
      <c r="CR15" s="609">
        <f>IF(Blad1!Z$7=$CL15,1)*Blad1!EJ$7</f>
        <v>0</v>
      </c>
      <c r="CS15" s="609">
        <f>IF(Blad1!Z$8=$CL15,1)*Blad1!EJ$8</f>
        <v>0</v>
      </c>
      <c r="CT15" s="609">
        <f>IF(Blad1!Z$9=$CL15,1)*Blad1!EJ$9</f>
        <v>0</v>
      </c>
      <c r="CU15" s="609">
        <f>IF(Blad1!Z$10=$CL15,1)*Blad1!EJ$10</f>
        <v>0</v>
      </c>
      <c r="CV15" s="609">
        <f>IF(Blad1!Z$11=$CL15,1)*Blad1!EJ$11</f>
        <v>0</v>
      </c>
      <c r="CW15" s="609">
        <f>IF(Blad1!Z$12=$CL15,1)*Blad1!EJ$12</f>
        <v>0</v>
      </c>
      <c r="CX15" s="609">
        <f>IF(Blad1!Z$13=$CL15,1)*Blad1!EJ$13</f>
        <v>0</v>
      </c>
      <c r="CY15" s="609">
        <f>IF(Blad1!Z$14=$CL15,1)*Blad1!EJ$14</f>
        <v>0</v>
      </c>
      <c r="CZ15" s="609">
        <f>IF(Blad1!Z$15=$CL15,1)*Blad1!EJ$15</f>
        <v>0</v>
      </c>
      <c r="DA15" s="609">
        <f>IF(Blad1!Z$16=$CL15,1)*Blad1!EJ$16</f>
        <v>0</v>
      </c>
      <c r="DB15" s="609">
        <f>IF(Blad1!Z$17=$CL15,1)*Blad1!EJ$17</f>
        <v>0</v>
      </c>
      <c r="DC15" s="609">
        <f>IF(Blad1!Z$18=$CL15,1)*Blad1!EJ$18</f>
        <v>0</v>
      </c>
      <c r="DD15" s="609">
        <f>IF(Blad1!Z$19=$CL15,1)*Blad1!EJ$19</f>
        <v>0</v>
      </c>
      <c r="DE15" s="609">
        <f>IF(Blad1!Z$20=$CL15,1)*Blad1!EJ$20</f>
        <v>0</v>
      </c>
      <c r="DF15" s="609">
        <f>IF(Blad1!Z$21=$CL15,1)*Blad1!EJ$21</f>
        <v>0</v>
      </c>
      <c r="DG15" s="649">
        <f>IF(Blad1!Z$22=$CL15,1)*Blad1!EJ$22</f>
        <v>0</v>
      </c>
      <c r="DH15" s="652">
        <f t="shared" si="6"/>
        <v>0</v>
      </c>
    </row>
    <row r="16" spans="1:112" ht="15" customHeight="1" x14ac:dyDescent="0.2">
      <c r="B16" s="293">
        <v>8</v>
      </c>
      <c r="C16" s="296" t="s">
        <v>542</v>
      </c>
      <c r="D16" s="297">
        <f>VLOOKUP($C16,punten_rijder,2,0)+VLOOKUP($C16,snelste_ronde,2,0)</f>
        <v>0</v>
      </c>
      <c r="E16" s="297">
        <f>VLOOKUP($C16,punten_rijder,3,0)+VLOOKUP($C16,snelste_ronde,3,0)</f>
        <v>2</v>
      </c>
      <c r="F16" s="297">
        <f>VLOOKUP($C16,punten_rijder,4,0)+VLOOKUP($C16,snelste_ronde,4,0)</f>
        <v>1</v>
      </c>
      <c r="G16" s="297">
        <f>VLOOKUP($C16,punten_rijder,5,0)+VLOOKUP($C16,snelste_ronde,5,0)</f>
        <v>0</v>
      </c>
      <c r="H16" s="297">
        <f>VLOOKUP($C16,punten_rijder,6,0)+VLOOKUP($C16,snelste_ronde,6,0)</f>
        <v>0</v>
      </c>
      <c r="I16" s="297">
        <f>VLOOKUP($C16,punten_rijder,7,0)+VLOOKUP($C16,snelste_ronde,7,0)</f>
        <v>4</v>
      </c>
      <c r="J16" s="297">
        <f>VLOOKUP($C16,punten_rijder,8,0)+VLOOKUP($C16,snelste_ronde,8,0)</f>
        <v>0</v>
      </c>
      <c r="K16" s="297">
        <f>VLOOKUP($C16,punten_rijder,9,0)+VLOOKUP($C16,snelste_ronde,9,0)</f>
        <v>0</v>
      </c>
      <c r="L16" s="297">
        <f>VLOOKUP($C16,punten_rijder,10,0)+VLOOKUP($C16,snelste_ronde,10,0)</f>
        <v>0</v>
      </c>
      <c r="M16" s="297">
        <f>VLOOKUP($C16,punten_rijder,11,0)+VLOOKUP($C16,snelste_ronde,11,0)</f>
        <v>0</v>
      </c>
      <c r="N16" s="297">
        <f>VLOOKUP($C16,punten_rijder,12,0)+VLOOKUP($C16,snelste_ronde,12,0)</f>
        <v>8</v>
      </c>
      <c r="O16" s="297">
        <f>VLOOKUP($C16,punten_rijder,13,0)+VLOOKUP($C16,snelste_ronde,13,0)</f>
        <v>1</v>
      </c>
      <c r="P16" s="297">
        <f>VLOOKUP($C16,punten_rijder,14,0)+VLOOKUP($C16,snelste_ronde,14,0)</f>
        <v>10</v>
      </c>
      <c r="Q16" s="297">
        <f>VLOOKUP($C16,punten_rijder,15,0)+VLOOKUP($C16,snelste_ronde,15,0)</f>
        <v>8</v>
      </c>
      <c r="R16" s="297">
        <f>VLOOKUP($C16,punten_rijder,16,0)+VLOOKUP($C16,snelste_ronde,16,0)</f>
        <v>0</v>
      </c>
      <c r="S16" s="297">
        <f>VLOOKUP($C16,punten_rijder,17,0)+VLOOKUP($C16,snelste_ronde,17,0)</f>
        <v>0</v>
      </c>
      <c r="T16" s="297">
        <f>VLOOKUP($C16,punten_rijder,18,0)+VLOOKUP($C16,snelste_ronde,18,0)</f>
        <v>0</v>
      </c>
      <c r="U16" s="297">
        <f>VLOOKUP($C16,punten_rijder,19,0)+VLOOKUP($C16,snelste_ronde,19,0)</f>
        <v>0</v>
      </c>
      <c r="V16" s="297">
        <f>VLOOKUP($C16,punten_rijder,20,0)+VLOOKUP($C16,snelste_ronde,20,0)</f>
        <v>0</v>
      </c>
      <c r="W16" s="297">
        <f>VLOOKUP($C16,punten_rijder,21,0)+VLOOKUP($C16,snelste_ronde,21,0)</f>
        <v>0</v>
      </c>
      <c r="X16" s="297">
        <f>VLOOKUP($C16,punten_rijder,22,0)+VLOOKUP($C16,snelste_ronde,22,0)</f>
        <v>0</v>
      </c>
      <c r="Y16" s="297">
        <f>SUM(D16:X16)</f>
        <v>34</v>
      </c>
      <c r="Z16" s="547"/>
      <c r="AA16" s="288">
        <f t="shared" si="0"/>
        <v>10</v>
      </c>
      <c r="AB16" s="298" t="str">
        <f t="shared" si="3"/>
        <v>p</v>
      </c>
      <c r="AD16" s="548">
        <f t="shared" si="1"/>
        <v>2</v>
      </c>
      <c r="AE16" s="548"/>
      <c r="AF16" s="548"/>
      <c r="AH16" s="296" t="s">
        <v>365</v>
      </c>
      <c r="AI16" s="550">
        <v>8</v>
      </c>
      <c r="AK16" s="297">
        <f t="shared" si="4"/>
        <v>24</v>
      </c>
      <c r="AO16" s="545"/>
      <c r="AP16" s="553" t="s">
        <v>329</v>
      </c>
      <c r="AQ16" s="554">
        <f>IF(Blad1!$AC$2="N. Hulkenberg",25,0)+IF(Blad1!$AH$2="N. Hulkenberg",18,0)+IF(Blad1!$AM$2="N. Hulkenberg",15,0)+IF(Blad1!$AR$2="N. Hulkenberg",12,0)+IF(Blad1!$AW$2="N. Hulkenberg",10,0)+IF(Blad1!$BB$2="N. Hulkenberg",8,0)+IF(Blad1!$BG$2="N. Hulkenberg",6,0)+IF(Blad1!$BL$2="N. Hulkenberg",4,0)+IF(Blad1!$BQ$2="N. Hulkenberg",2,0)+IF(Blad1!$BV$2="N. Hulkenberg",1,0)</f>
        <v>6</v>
      </c>
      <c r="AR16" s="555">
        <f>IF(Blad1!$AC$3="N. Hulkenberg",25,0)+IF(Blad1!$AH$3="N. Hulkenberg",18,0)+IF(Blad1!$AM$3="N. Hulkenberg",15,0)+IF(Blad1!$AR$3="N. Hulkenberg",12,0)+IF(Blad1!$AW$3="N. Hulkenberg",10,0)+IF(Blad1!$BB$3="N. Hulkenberg",8,0)+IF(Blad1!$BG$3="N. Hulkenberg",6,0)+IF(Blad1!$BL$3="N. Hulkenberg",4,0)+IF(Blad1!$BQ$3="N. Hulkenberg",2,0)+IF(Blad1!$BV$3="N. Hulkenberg",1,0)</f>
        <v>0</v>
      </c>
      <c r="AS16" s="555">
        <f>IF(Blad1!$AC$4="N. Hulkenberg",25,0)+IF(Blad1!$AH$4="N. Hulkenberg",18,0)+IF(Blad1!$AM$4="N. Hulkenberg",15,0)+IF(Blad1!$AR$4="N. Hulkenberg",12,0)+IF(Blad1!$AW$4="N. Hulkenberg",10,0)+IF(Blad1!$BB$4="N. Hulkenberg",8,0)+IF(Blad1!$BG$4="N. Hulkenberg",6,0)+IF(Blad1!$BL$4="N. Hulkenberg",4,0)+IF(Blad1!$BQ$4="N. Hulkenberg",2,0)+IF(Blad1!$BV$4="N. Hulkenberg",1,0)</f>
        <v>0</v>
      </c>
      <c r="AT16" s="555">
        <f>IF(Blad1!$AC$5="N. Hulkenberg",25,0)+IF(Blad1!$AH$5="N. Hulkenberg",18,0)+IF(Blad1!$AM$5="N. Hulkenberg",15,0)+IF(Blad1!$AR$5="N. Hulkenberg",12,0)+IF(Blad1!$AW$5="N. Hulkenberg",10,0)+IF(Blad1!$BB$5="N. Hulkenberg",8,0)+IF(Blad1!$BG$5="N. Hulkenberg",6,0)+IF(Blad1!$BL$5="N. Hulkenberg",4,0)+IF(Blad1!$BQ$5="N. Hulkenberg",2,0)+IF(Blad1!$BV$5="N. Hulkenberg",1,0)</f>
        <v>0</v>
      </c>
      <c r="AU16" s="555">
        <f>IF(Blad1!$AC$6="N. Hulkenberg",25,0)+IF(Blad1!$AH$6="N. Hulkenberg",18,0)+IF(Blad1!$AM$6="N. Hulkenberg",15,0)+IF(Blad1!$AR$6="N. Hulkenberg",12,0)+IF(Blad1!$AW$6="N. Hulkenberg",10,0)+IF(Blad1!$BB$6="N. Hulkenberg",8,0)+IF(Blad1!$BG$6="N. Hulkenberg",6,0)+IF(Blad1!$BL$6="N. Hulkenberg",4,0)+IF(Blad1!$BQ$6="N. Hulkenberg",2,0)+IF(Blad1!$BV$6="N. Hulkenberg",1,0)</f>
        <v>0</v>
      </c>
      <c r="AV16" s="555">
        <f>IF(Blad1!$AC$7="N. Hulkenberg",25,0)+IF(Blad1!$AH$7="N. Hulkenberg",18,0)+IF(Blad1!$AM$7="N. Hulkenberg",15,0)+IF(Blad1!$AR$7="N. Hulkenberg",12,0)+IF(Blad1!$AW$7="N. Hulkenberg",10,0)+IF(Blad1!$BB$7="N. Hulkenberg",8,0)+IF(Blad1!$BG$7="N. Hulkenberg",6,0)+IF(Blad1!$BL$7="N. Hulkenberg",4,0)+IF(Blad1!$BQ$7="N. Hulkenberg",2,0)+IF(Blad1!$BV$7="N. Hulkenberg",1,0)</f>
        <v>0</v>
      </c>
      <c r="AW16" s="555">
        <f>IF(Blad1!$AC$8="N. Hulkenberg",25,0)+IF(Blad1!$AH$8="N. Hulkenberg",18,0)+IF(Blad1!$AM$8="N. Hulkenberg",15,0)+IF(Blad1!$AR$8="N. Hulkenberg",12,0)+IF(Blad1!$AW$8="N. Hulkenberg",10,0)+IF(Blad1!$BB$8="N. Hulkenberg",8,0)+IF(Blad1!$BG$8="N. Hulkenberg",6,0)+IF(Blad1!$BL$8="N. Hulkenberg",4,0)+IF(Blad1!$BQ$8="N. Hulkenberg",2,0)+IF(Blad1!$BV$8="N. Hulkenberg",1,0)</f>
        <v>6</v>
      </c>
      <c r="AX16" s="555">
        <f>IF(Blad1!$AC$9="N. Hulkenberg",25,0)+IF(Blad1!$AH$9="N. Hulkenberg",18,0)+IF(Blad1!$AM$9="N. Hulkenberg",15,0)+IF(Blad1!$AR$9="N. Hulkenberg",12,0)+IF(Blad1!$AW$9="N. Hulkenberg",10,0)+IF(Blad1!$BB$9="N. Hulkenberg",8,0)+IF(Blad1!$BG$9="N. Hulkenberg",6,0)+IF(Blad1!$BL$9="N. Hulkenberg",4,0)+IF(Blad1!$BQ$9="N. Hulkenberg",2,0)+IF(Blad1!$BV$9="N. Hulkenberg",1,0)</f>
        <v>4</v>
      </c>
      <c r="AY16" s="555">
        <f>IF(Blad1!$AC$10="N. Hulkenberg",25,0)+IF(Blad1!$AH$10="N. Hulkenberg",18,0)+IF(Blad1!$AM$10="N. Hulkenberg",15,0)+IF(Blad1!$AR$10="N. Hulkenberg",12,0)+IF(Blad1!$AW$10="N. Hulkenberg",10,0)+IF(Blad1!$BB$10="N. Hulkenberg",8,0)+IF(Blad1!$BG$10="N. Hulkenberg",6,0)+IF(Blad1!$BL$10="N. Hulkenberg",4,0)+IF(Blad1!$BQ$10="N. Hulkenberg",2,0)+IF(Blad1!$BV$10="N. Hulkenberg",1,0)</f>
        <v>0</v>
      </c>
      <c r="AZ16" s="555">
        <f>IF(Blad1!$AC$11="N. Hulkenberg",25,0)+IF(Blad1!$AH$11="N. Hulkenberg",18,0)+IF(Blad1!$AM$11="N. Hulkenberg",15,0)+IF(Blad1!$AR$11="N. Hulkenberg",12,0)+IF(Blad1!$AW$11="N. Hulkenberg",10,0)+IF(Blad1!$BB$11="N. Hulkenberg",8,0)+IF(Blad1!$BG$11="N. Hulkenberg",6,0)+IF(Blad1!$BL$11="N. Hulkenberg",4,0)+IF(Blad1!$BQ$11="N. Hulkenberg",2,0)+IF(Blad1!$BV$11="N. Hulkenberg",1,0)</f>
        <v>1</v>
      </c>
      <c r="BA16" s="555">
        <f>IF(Blad1!$AC$12="N. Hulkenberg",25,0)+IF(Blad1!$AH$12="N. Hulkenberg",18,0)+IF(Blad1!$AM$12="N. Hulkenberg",15,0)+IF(Blad1!$AR$12="N. Hulkenberg",12,0)+IF(Blad1!$AW$12="N. Hulkenberg",10,0)+IF(Blad1!$BB$12="N. Hulkenberg",8,0)+IF(Blad1!$BG$12="N. Hulkenberg",6,0)+IF(Blad1!$BL$12="N. Hulkenberg",4,0)+IF(Blad1!$BQ$12="N. Hulkenberg",2,0)+IF(Blad1!$BV$12="N. Hulkenberg",1,0)</f>
        <v>0</v>
      </c>
      <c r="BB16" s="555">
        <f>IF(Blad1!$AC$13="N. Hulkenberg",25,0)+IF(Blad1!$AH$13="N. Hulkenberg",18,0)+IF(Blad1!$AM$13="N. Hulkenberg",15,0)+IF(Blad1!$AR$13="N. Hulkenberg",12,0)+IF(Blad1!$AW$13="N. Hulkenberg",10,0)+IF(Blad1!$BB$13="N. Hulkenberg",8,0)+IF(Blad1!$BG$13="N. Hulkenberg",6,0)+IF(Blad1!$BL$13="N. Hulkenberg",4,0)+IF(Blad1!$BQ$13="N. Hulkenberg",2,0)+IF(Blad1!$BV$13="N. Hulkenberg",1,0)</f>
        <v>0</v>
      </c>
      <c r="BC16" s="555">
        <f>IF(Blad1!$AC$14="N. Hulkenberg",25,0)+IF(Blad1!$AH$14="N. Hulkenberg",18,0)+IF(Blad1!$AM$14="N. Hulkenberg",15,0)+IF(Blad1!$AR$14="N. Hulkenberg",12,0)+IF(Blad1!$AW$14="N. Hulkenberg",10,0)+IF(Blad1!$BB$14="N. Hulkenberg",8,0)+IF(Blad1!$BG$14="N. Hulkenberg",6,0)+IF(Blad1!$BL$14="N. Hulkenberg",4,0)+IF(Blad1!$BQ$14="N. Hulkenberg",2,0)+IF(Blad1!$BV$14="N. Hulkenberg",1,0)</f>
        <v>4</v>
      </c>
      <c r="BD16" s="555">
        <f>IF(Blad1!$AC$15="N. Hulkenberg",25,0)+IF(Blad1!$AH$15="N. Hulkenberg",18,0)+IF(Blad1!$AM$15="N. Hulkenberg",15,0)+IF(Blad1!$AR$15="N. Hulkenberg",12,0)+IF(Blad1!$AW$15="N. Hulkenberg",10,0)+IF(Blad1!$BB$15="N. Hulkenberg",8,0)+IF(Blad1!$BG$15="N. Hulkenberg",6,0)+IF(Blad1!$BL$15="N. Hulkenberg",4,0)+IF(Blad1!$BQ$15="N. Hulkenberg",2,0)+IF(Blad1!$BV$15="N. Hulkenberg",1,0)</f>
        <v>10</v>
      </c>
      <c r="BE16" s="555">
        <f>IF(Blad1!$AC$16="N. Hulkenberg",25,0)+IF(Blad1!$AH$16="N. Hulkenberg",18,0)+IF(Blad1!$AM$16="N. Hulkenberg",15,0)+IF(Blad1!$AR$16="N. Hulkenberg",12,0)+IF(Blad1!$AW$16="N. Hulkenberg",10,0)+IF(Blad1!$BB$16="N. Hulkenberg",8,0)+IF(Blad1!$BG$16="N. Hulkenberg",6,0)+IF(Blad1!$BL$16="N. Hulkenberg",4,0)+IF(Blad1!$BQ$16="N. Hulkenberg",2,0)+IF(Blad1!$BV$16="N. Hulkenberg",1,0)</f>
        <v>0</v>
      </c>
      <c r="BF16" s="555">
        <f>IF(Blad1!$AC$17="N. Hulkenberg",25,0)+IF(Blad1!$AH$17="N. Hulkenberg",18,0)+IF(Blad1!$AM$17="N. Hulkenberg",15,0)+IF(Blad1!$AR$17="N. Hulkenberg",12,0)+IF(Blad1!$AW$17="N. Hulkenberg",10,0)+IF(Blad1!$BB$17="N. Hulkenberg",8,0)+IF(Blad1!$BG$17="N. Hulkenberg",6,0)+IF(Blad1!$BL$17="N. Hulkenberg",4,0)+IF(Blad1!$BQ$17="N. Hulkenberg",2,0)+IF(Blad1!$BV$17="N. Hulkenberg",1,0)</f>
        <v>0</v>
      </c>
      <c r="BG16" s="555">
        <f>IF(Blad1!$AC$18="N. Hulkenberg",25,0)+IF(Blad1!$AH$18="N. Hulkenberg",18,0)+IF(Blad1!$AM$18="N. Hulkenberg",15,0)+IF(Blad1!$AR$18="N. Hulkenberg",12,0)+IF(Blad1!$AW$18="N. Hulkenberg",10,0)+IF(Blad1!$BB$18="N. Hulkenberg",8,0)+IF(Blad1!$BG$18="N. Hulkenberg",6,0)+IF(Blad1!$BL$18="N. Hulkenberg",4,0)+IF(Blad1!$BQ$18="N. Hulkenberg",2,0)+IF(Blad1!$BV$18="N. Hulkenberg",1,0)</f>
        <v>0</v>
      </c>
      <c r="BH16" s="555">
        <f>IF(Blad1!$AC$19="N. Hulkenberg",25,0)+IF(Blad1!$AH$19="N. Hulkenberg",18,0)+IF(Blad1!$AM$19="N. Hulkenberg",15,0)+IF(Blad1!$AR$19="N. Hulkenberg",12,0)+IF(Blad1!$AW$19="N. Hulkenberg",10,0)+IF(Blad1!$BB$19="N. Hulkenberg",8,0)+IF(Blad1!$BG$19="N. Hulkenberg",6,0)+IF(Blad1!$BL$19="N. Hulkenberg",4,0)+IF(Blad1!$BQ$19="N. Hulkenberg",2,0)+IF(Blad1!$BV$19="N. Hulkenberg",1,0)</f>
        <v>0</v>
      </c>
      <c r="BI16" s="555">
        <f>IF(Blad1!$AC$20="N. Hulkenberg",25,0)+IF(Blad1!$AH$20="N. Hulkenberg",18,0)+IF(Blad1!$AM$20="N. Hulkenberg",15,0)+IF(Blad1!$AR$20="N. Hulkenberg",12,0)+IF(Blad1!$AW$20="N. Hulkenberg",10,0)+IF(Blad1!$BB$20="N. Hulkenberg",8,0)+IF(Blad1!$BG$20="N. Hulkenberg",6,0)+IF(Blad1!$BL$20="N. Hulkenberg",4,0)+IF(Blad1!$BQ$20="N. Hulkenberg",2,0)+IF(Blad1!$BV$20="N. Hulkenberg",1,0)</f>
        <v>0</v>
      </c>
      <c r="BJ16" s="556">
        <f>IF(Blad1!$AC$21="N. Hulkenberg",25,0)+IF(Blad1!$AH$21="N. Hulkenberg",18,0)+IF(Blad1!$AM$21="N. Hulkenberg",15,0)+IF(Blad1!$AR$21="N. Hulkenberg",12,0)+IF(Blad1!$AW$21="N. Hulkenberg",10,0)+IF(Blad1!$BB$21="N. Hulkenberg",8,0)+IF(Blad1!$BG$21="N. Hulkenberg",6,0)+IF(Blad1!$BL$21="N. Hulkenberg",4,0)+IF(Blad1!$BQ$21="N. Hulkenberg",2,0)+IF(Blad1!$BV$21="N. Hulkenberg",1,0)</f>
        <v>0</v>
      </c>
      <c r="BK16" s="556">
        <f>IF(Blad1!$AC$22="N. Hulkenberg",25,0)+IF(Blad1!$AH$22="N. Hulkenberg",18,0)+IF(Blad1!$AM$22="N. Hulkenberg",15,0)+IF(Blad1!$AR$22="N. Hulkenberg",12,0)+IF(Blad1!$AW$22="N. Hulkenberg",10,0)+IF(Blad1!$BB$22="N. Hulkenberg",8,0)+IF(Blad1!$BG$22="N. Hulkenberg",6,0)+IF(Blad1!$BL$22="N. Hulkenberg",4,0)+IF(Blad1!$BQ$22="N. Hulkenberg",2,0)+IF(Blad1!$BV$22="N. Hulkenberg",1,0)</f>
        <v>0</v>
      </c>
      <c r="BL16" s="557">
        <f t="shared" si="5"/>
        <v>31</v>
      </c>
      <c r="BN16" s="762"/>
      <c r="BO16" s="759"/>
      <c r="BP16" s="750"/>
      <c r="BQ16" s="750"/>
      <c r="BR16" s="750"/>
      <c r="BS16" s="750"/>
      <c r="BT16" s="750"/>
      <c r="BU16" s="750"/>
      <c r="BV16" s="750"/>
      <c r="BW16" s="750"/>
      <c r="BX16" s="750"/>
      <c r="BY16" s="750"/>
      <c r="BZ16" s="750"/>
      <c r="CA16" s="750"/>
      <c r="CB16" s="750"/>
      <c r="CC16" s="750"/>
      <c r="CD16" s="750"/>
      <c r="CE16" s="750"/>
      <c r="CF16" s="750"/>
      <c r="CG16" s="750"/>
      <c r="CH16" s="750"/>
      <c r="CI16" s="755"/>
      <c r="CJ16" s="753"/>
      <c r="CL16" s="569" t="s">
        <v>329</v>
      </c>
      <c r="CM16" s="611">
        <f>IF(Blad1!Z$2=$CL16,1)*Blad1!EJ$2</f>
        <v>0</v>
      </c>
      <c r="CN16" s="609">
        <f>IF(Blad1!Z$3=$CL16,1)*Blad1!EJ$3</f>
        <v>0</v>
      </c>
      <c r="CO16" s="609">
        <f>IF(Blad1!Z$4=$CL16,1)*Blad1!EJ$4</f>
        <v>0</v>
      </c>
      <c r="CP16" s="609">
        <f>IF(Blad1!Z$5=$CL16,1)*Blad1!EJ$5</f>
        <v>0</v>
      </c>
      <c r="CQ16" s="609">
        <f>IF(Blad1!Z$6=$CL16,1)*Blad1!EJ$6</f>
        <v>0</v>
      </c>
      <c r="CR16" s="609">
        <f>IF(Blad1!Z$7=$CL16,1)*Blad1!EJ$7</f>
        <v>0</v>
      </c>
      <c r="CS16" s="609">
        <f>IF(Blad1!Z$8=$CL16,1)*Blad1!EJ$8</f>
        <v>0</v>
      </c>
      <c r="CT16" s="609">
        <f>IF(Blad1!Z$9=$CL16,1)*Blad1!EJ$9</f>
        <v>0</v>
      </c>
      <c r="CU16" s="609">
        <f>IF(Blad1!Z$10=$CL16,1)*Blad1!EJ$10</f>
        <v>0</v>
      </c>
      <c r="CV16" s="609">
        <f>IF(Blad1!Z$11=$CL16,1)*Blad1!EJ$11</f>
        <v>0</v>
      </c>
      <c r="CW16" s="609">
        <f>IF(Blad1!Z$12=$CL16,1)*Blad1!EJ$12</f>
        <v>0</v>
      </c>
      <c r="CX16" s="609">
        <f>IF(Blad1!Z$13=$CL16,1)*Blad1!EJ$13</f>
        <v>0</v>
      </c>
      <c r="CY16" s="609">
        <f>IF(Blad1!Z$14=$CL16,1)*Blad1!EJ$14</f>
        <v>0</v>
      </c>
      <c r="CZ16" s="609">
        <f>IF(Blad1!Z$15=$CL16,1)*Blad1!EJ$15</f>
        <v>0</v>
      </c>
      <c r="DA16" s="609">
        <f>IF(Blad1!Z$16=$CL16,1)*Blad1!EJ$16</f>
        <v>0</v>
      </c>
      <c r="DB16" s="609">
        <f>IF(Blad1!Z$17=$CL16,1)*Blad1!EJ$17</f>
        <v>0</v>
      </c>
      <c r="DC16" s="609">
        <f>IF(Blad1!Z$18=$CL16,1)*Blad1!EJ$18</f>
        <v>0</v>
      </c>
      <c r="DD16" s="609">
        <f>IF(Blad1!Z$19=$CL16,1)*Blad1!EJ$19</f>
        <v>0</v>
      </c>
      <c r="DE16" s="609">
        <f>IF(Blad1!Z$20=$CL16,1)*Blad1!EJ$20</f>
        <v>0</v>
      </c>
      <c r="DF16" s="609">
        <f>IF(Blad1!Z$21=$CL16,1)*Blad1!EJ$21</f>
        <v>0</v>
      </c>
      <c r="DG16" s="649">
        <f>IF(Blad1!Z$22=$CL16,1)*Blad1!EJ$22</f>
        <v>0</v>
      </c>
      <c r="DH16" s="652">
        <f t="shared" si="6"/>
        <v>0</v>
      </c>
    </row>
    <row r="17" spans="2:112" ht="15" customHeight="1" x14ac:dyDescent="0.2">
      <c r="B17" s="293">
        <v>9</v>
      </c>
      <c r="C17" s="296" t="s">
        <v>348</v>
      </c>
      <c r="D17" s="297">
        <f>VLOOKUP($C17,punten_rijder,2,0)+VLOOKUP($C17,snelste_ronde,2,0)</f>
        <v>0</v>
      </c>
      <c r="E17" s="297">
        <f>VLOOKUP($C17,punten_rijder,3,0)+VLOOKUP($C17,snelste_ronde,3,0)</f>
        <v>0</v>
      </c>
      <c r="F17" s="297">
        <f>VLOOKUP($C17,punten_rijder,4,0)+VLOOKUP($C17,snelste_ronde,4,0)</f>
        <v>6</v>
      </c>
      <c r="G17" s="297">
        <f>VLOOKUP($C17,punten_rijder,5,0)+VLOOKUP($C17,snelste_ronde,5,0)</f>
        <v>0</v>
      </c>
      <c r="H17" s="297">
        <f>VLOOKUP($C17,punten_rijder,6,0)+VLOOKUP($C17,snelste_ronde,6,0)</f>
        <v>0</v>
      </c>
      <c r="I17" s="297">
        <f>VLOOKUP($C17,punten_rijder,7,0)+VLOOKUP($C17,snelste_ronde,7,0)</f>
        <v>2</v>
      </c>
      <c r="J17" s="297">
        <f>VLOOKUP($C17,punten_rijder,8,0)+VLOOKUP($C17,snelste_ronde,8,0)</f>
        <v>8</v>
      </c>
      <c r="K17" s="297">
        <f>VLOOKUP($C17,punten_rijder,9,0)+VLOOKUP($C17,snelste_ronde,9,0)</f>
        <v>0</v>
      </c>
      <c r="L17" s="297">
        <f>VLOOKUP($C17,punten_rijder,10,0)+VLOOKUP($C17,snelste_ronde,10,0)</f>
        <v>0</v>
      </c>
      <c r="M17" s="297">
        <f>VLOOKUP($C17,punten_rijder,11,0)+VLOOKUP($C17,snelste_ronde,11,0)</f>
        <v>6</v>
      </c>
      <c r="N17" s="297">
        <f>VLOOKUP($C17,punten_rijder,12,0)+VLOOKUP($C17,snelste_ronde,12,0)</f>
        <v>0</v>
      </c>
      <c r="O17" s="297">
        <f>VLOOKUP($C17,punten_rijder,13,0)+VLOOKUP($C17,snelste_ronde,13,0)</f>
        <v>0</v>
      </c>
      <c r="P17" s="297">
        <f>VLOOKUP($C17,punten_rijder,14,0)+VLOOKUP($C17,snelste_ronde,14,0)</f>
        <v>0</v>
      </c>
      <c r="Q17" s="297">
        <f>VLOOKUP($C17,punten_rijder,15,0)+VLOOKUP($C17,snelste_ronde,15,0)</f>
        <v>12</v>
      </c>
      <c r="R17" s="297">
        <f>VLOOKUP($C17,punten_rijder,16,0)+VLOOKUP($C17,snelste_ronde,16,0)</f>
        <v>0</v>
      </c>
      <c r="S17" s="297">
        <f>VLOOKUP($C17,punten_rijder,17,0)+VLOOKUP($C17,snelste_ronde,17,0)</f>
        <v>0</v>
      </c>
      <c r="T17" s="297">
        <f>VLOOKUP($C17,punten_rijder,18,0)+VLOOKUP($C17,snelste_ronde,18,0)</f>
        <v>0</v>
      </c>
      <c r="U17" s="297">
        <f>VLOOKUP($C17,punten_rijder,19,0)+VLOOKUP($C17,snelste_ronde,19,0)</f>
        <v>0</v>
      </c>
      <c r="V17" s="297">
        <f>VLOOKUP($C17,punten_rijder,20,0)+VLOOKUP($C17,snelste_ronde,20,0)</f>
        <v>0</v>
      </c>
      <c r="W17" s="297">
        <f>VLOOKUP($C17,punten_rijder,21,0)+VLOOKUP($C17,snelste_ronde,21,0)</f>
        <v>0</v>
      </c>
      <c r="X17" s="297">
        <f>VLOOKUP($C17,punten_rijder,22,0)+VLOOKUP($C17,snelste_ronde,22,0)</f>
        <v>0</v>
      </c>
      <c r="Y17" s="297">
        <f>SUM(D17:X17)</f>
        <v>34</v>
      </c>
      <c r="Z17" s="547"/>
      <c r="AA17" s="288">
        <f t="shared" si="0"/>
        <v>12</v>
      </c>
      <c r="AB17" s="298" t="str">
        <f t="shared" si="3"/>
        <v>p</v>
      </c>
      <c r="AD17" s="548">
        <f t="shared" si="1"/>
        <v>2</v>
      </c>
      <c r="AE17" s="548"/>
      <c r="AF17" s="548"/>
      <c r="AH17" s="296" t="s">
        <v>63</v>
      </c>
      <c r="AI17" s="550">
        <v>9</v>
      </c>
      <c r="AK17" s="297">
        <f t="shared" si="4"/>
        <v>0</v>
      </c>
      <c r="AO17" s="545"/>
      <c r="AP17" s="553" t="s">
        <v>349</v>
      </c>
      <c r="AQ17" s="554">
        <f>IF(Blad1!$AC$2="R. Grosjean",25,0)+IF(Blad1!$AH$2="R. Grosjean",18,0)+IF(Blad1!$AM$2="R. Grosjean",15,0)+IF(Blad1!$AR$2="R. Grosjean",12,0)+IF(Blad1!$AW$2="R. Grosjean",10,0)+IF(Blad1!$BB$2="R. Grosjean",8,0)+IF(Blad1!$BG$2="R. Grosjean",6,0)+IF(Blad1!$BL$2="R. Grosjean",4,0)+IF(Blad1!$BQ$2="R. Grosjean",2,0)+IF(Blad1!$BV$2="R. Grosjean",1,0)</f>
        <v>0</v>
      </c>
      <c r="AR17" s="555">
        <f>IF(Blad1!$AC$3="R. Grosjean",25,0)+IF(Blad1!$AH$3="R. Grosjean",18,0)+IF(Blad1!$AM$3="R. Grosjean",15,0)+IF(Blad1!$AR$3="R. Grosjean",12,0)+IF(Blad1!$AW$3="R. Grosjean",10,0)+IF(Blad1!$BB$3="R. Grosjean",8,0)+IF(Blad1!$BG$3="R. Grosjean",6,0)+IF(Blad1!$BL$3="R. Grosjean",4,0)+IF(Blad1!$BQ$3="R. Grosjean",2,0)+IF(Blad1!$BV$3="R. Grosjean",1,0)</f>
        <v>0</v>
      </c>
      <c r="AS17" s="555">
        <f>IF(Blad1!$AC$4="R. Grosjean",25,0)+IF(Blad1!$AH$4="R. Grosjean",18,0)+IF(Blad1!$AM$4="R. Grosjean",15,0)+IF(Blad1!$AR$4="R. Grosjean",12,0)+IF(Blad1!$AW$4="R. Grosjean",10,0)+IF(Blad1!$BB$4="R. Grosjean",8,0)+IF(Blad1!$BG$4="R. Grosjean",6,0)+IF(Blad1!$BL$4="R. Grosjean",4,0)+IF(Blad1!$BQ$4="R. Grosjean",2,0)+IF(Blad1!$BV$4="R. Grosjean",1,0)</f>
        <v>0</v>
      </c>
      <c r="AT17" s="555">
        <f>IF(Blad1!$AC$5="R. Grosjean",25,0)+IF(Blad1!$AH$5="R. Grosjean",18,0)+IF(Blad1!$AM$5="R. Grosjean",15,0)+IF(Blad1!$AR$5="R. Grosjean",12,0)+IF(Blad1!$AW$5="R. Grosjean",10,0)+IF(Blad1!$BB$5="R. Grosjean",8,0)+IF(Blad1!$BG$5="R. Grosjean",6,0)+IF(Blad1!$BL$5="R. Grosjean",4,0)+IF(Blad1!$BQ$5="R. Grosjean",2,0)+IF(Blad1!$BV$5="R. Grosjean",1,0)</f>
        <v>0</v>
      </c>
      <c r="AU17" s="555">
        <f>IF(Blad1!$AC$6="R. Grosjean",25,0)+IF(Blad1!$AH$6="R. Grosjean",18,0)+IF(Blad1!$AM$6="R. Grosjean",15,0)+IF(Blad1!$AR$6="R. Grosjean",12,0)+IF(Blad1!$AW$6="R. Grosjean",10,0)+IF(Blad1!$BB$6="R. Grosjean",8,0)+IF(Blad1!$BG$6="R. Grosjean",6,0)+IF(Blad1!$BL$6="R. Grosjean",4,0)+IF(Blad1!$BQ$6="R. Grosjean",2,0)+IF(Blad1!$BV$6="R. Grosjean",1,0)</f>
        <v>1</v>
      </c>
      <c r="AV17" s="555">
        <f>IF(Blad1!$AC$7="R. Grosjean",25,0)+IF(Blad1!$AH$7="R. Grosjean",18,0)+IF(Blad1!$AM$7="R. Grosjean",15,0)+IF(Blad1!$AR$7="R. Grosjean",12,0)+IF(Blad1!$AW$7="R. Grosjean",10,0)+IF(Blad1!$BB$7="R. Grosjean",8,0)+IF(Blad1!$BG$7="R. Grosjean",6,0)+IF(Blad1!$BL$7="R. Grosjean",4,0)+IF(Blad1!$BQ$7="R. Grosjean",2,0)+IF(Blad1!$BV$7="R. Grosjean",1,0)</f>
        <v>1</v>
      </c>
      <c r="AW17" s="555">
        <f>IF(Blad1!$AC$8="R. Grosjean",25,0)+IF(Blad1!$AH$8="R. Grosjean",18,0)+IF(Blad1!$AM$8="R. Grosjean",15,0)+IF(Blad1!$AR$8="R. Grosjean",12,0)+IF(Blad1!$AW$8="R. Grosjean",10,0)+IF(Blad1!$BB$8="R. Grosjean",8,0)+IF(Blad1!$BG$8="R. Grosjean",6,0)+IF(Blad1!$BL$8="R. Grosjean",4,0)+IF(Blad1!$BQ$8="R. Grosjean",2,0)+IF(Blad1!$BV$8="R. Grosjean",1,0)</f>
        <v>0</v>
      </c>
      <c r="AX17" s="555">
        <f>IF(Blad1!$AC$9="R. Grosjean",25,0)+IF(Blad1!$AH$9="R. Grosjean",18,0)+IF(Blad1!$AM$9="R. Grosjean",15,0)+IF(Blad1!$AR$9="R. Grosjean",12,0)+IF(Blad1!$AW$9="R. Grosjean",10,0)+IF(Blad1!$BB$9="R. Grosjean",8,0)+IF(Blad1!$BG$9="R. Grosjean",6,0)+IF(Blad1!$BL$9="R. Grosjean",4,0)+IF(Blad1!$BQ$9="R. Grosjean",2,0)+IF(Blad1!$BV$9="R. Grosjean",1,0)</f>
        <v>0</v>
      </c>
      <c r="AY17" s="555">
        <f>IF(Blad1!$AC$10="R. Grosjean",25,0)+IF(Blad1!$AH$10="R. Grosjean",18,0)+IF(Blad1!$AM$10="R. Grosjean",15,0)+IF(Blad1!$AR$10="R. Grosjean",12,0)+IF(Blad1!$AW$10="R. Grosjean",10,0)+IF(Blad1!$BB$10="R. Grosjean",8,0)+IF(Blad1!$BG$10="R. Grosjean",6,0)+IF(Blad1!$BL$10="R. Grosjean",4,0)+IF(Blad1!$BQ$10="R. Grosjean",2,0)+IF(Blad1!$BV$10="R. Grosjean",1,0)</f>
        <v>0</v>
      </c>
      <c r="AZ17" s="555">
        <f>IF(Blad1!$AC$11="R. Grosjean",25,0)+IF(Blad1!$AH$11="R. Grosjean",18,0)+IF(Blad1!$AM$11="R. Grosjean",15,0)+IF(Blad1!$AR$11="R. Grosjean",12,0)+IF(Blad1!$AW$11="R. Grosjean",10,0)+IF(Blad1!$BB$11="R. Grosjean",8,0)+IF(Blad1!$BG$11="R. Grosjean",6,0)+IF(Blad1!$BL$11="R. Grosjean",4,0)+IF(Blad1!$BQ$11="R. Grosjean",2,0)+IF(Blad1!$BV$11="R. Grosjean",1,0)</f>
        <v>0</v>
      </c>
      <c r="BA17" s="555">
        <f>IF(Blad1!$AC$12="R. Grosjean",25,0)+IF(Blad1!$AH$12="R. Grosjean",18,0)+IF(Blad1!$AM$12="R. Grosjean",15,0)+IF(Blad1!$AR$12="R. Grosjean",12,0)+IF(Blad1!$AW$12="R. Grosjean",10,0)+IF(Blad1!$BB$12="R. Grosjean",8,0)+IF(Blad1!$BG$12="R. Grosjean",6,0)+IF(Blad1!$BL$12="R. Grosjean",4,0)+IF(Blad1!$BQ$12="R. Grosjean",2,0)+IF(Blad1!$BV$12="R. Grosjean",1,0)</f>
        <v>6</v>
      </c>
      <c r="BB17" s="555">
        <f>IF(Blad1!$AC$13="R. Grosjean",25,0)+IF(Blad1!$AH$13="R. Grosjean",18,0)+IF(Blad1!$AM$13="R. Grosjean",15,0)+IF(Blad1!$AR$13="R. Grosjean",12,0)+IF(Blad1!$AW$13="R. Grosjean",10,0)+IF(Blad1!$BB$13="R. Grosjean",8,0)+IF(Blad1!$BG$13="R. Grosjean",6,0)+IF(Blad1!$BL$13="R. Grosjean",4,0)+IF(Blad1!$BQ$13="R. Grosjean",2,0)+IF(Blad1!$BV$13="R. Grosjean",1,0)</f>
        <v>0</v>
      </c>
      <c r="BC17" s="555">
        <f>IF(Blad1!$AC$14="R. Grosjean",25,0)+IF(Blad1!$AH$14="R. Grosjean",18,0)+IF(Blad1!$AM$14="R. Grosjean",15,0)+IF(Blad1!$AR$14="R. Grosjean",12,0)+IF(Blad1!$AW$14="R. Grosjean",10,0)+IF(Blad1!$BB$14="R. Grosjean",8,0)+IF(Blad1!$BG$14="R. Grosjean",6,0)+IF(Blad1!$BL$14="R. Grosjean",4,0)+IF(Blad1!$BQ$14="R. Grosjean",2,0)+IF(Blad1!$BV$14="R. Grosjean",1,0)</f>
        <v>0</v>
      </c>
      <c r="BD17" s="555">
        <f>IF(Blad1!$AC$15="R. Grosjean",25,0)+IF(Blad1!$AH$15="R. Grosjean",18,0)+IF(Blad1!$AM$15="R. Grosjean",15,0)+IF(Blad1!$AR$15="R. Grosjean",12,0)+IF(Blad1!$AW$15="R. Grosjean",10,0)+IF(Blad1!$BB$15="R. Grosjean",8,0)+IF(Blad1!$BG$15="R. Grosjean",6,0)+IF(Blad1!$BL$15="R. Grosjean",4,0)+IF(Blad1!$BQ$15="R. Grosjean",2,0)+IF(Blad1!$BV$15="R. Grosjean",1,0)</f>
        <v>0</v>
      </c>
      <c r="BE17" s="555">
        <f>IF(Blad1!$AC$16="R. Grosjean",25,0)+IF(Blad1!$AH$16="R. Grosjean",18,0)+IF(Blad1!$AM$16="R. Grosjean",15,0)+IF(Blad1!$AR$16="R. Grosjean",12,0)+IF(Blad1!$AW$16="R. Grosjean",10,0)+IF(Blad1!$BB$16="R. Grosjean",8,0)+IF(Blad1!$BG$16="R. Grosjean",6,0)+IF(Blad1!$BL$16="R. Grosjean",4,0)+IF(Blad1!$BQ$16="R. Grosjean",2,0)+IF(Blad1!$BV$16="R. Grosjean",1,0)</f>
        <v>0</v>
      </c>
      <c r="BF17" s="555">
        <f>IF(Blad1!$AC$17="R. Grosjean",25,0)+IF(Blad1!$AH$17="R. Grosjean",18,0)+IF(Blad1!$AM$17="R. Grosjean",15,0)+IF(Blad1!$AR$17="R. Grosjean",12,0)+IF(Blad1!$AW$17="R. Grosjean",10,0)+IF(Blad1!$BB$17="R. Grosjean",8,0)+IF(Blad1!$BG$17="R. Grosjean",6,0)+IF(Blad1!$BL$17="R. Grosjean",4,0)+IF(Blad1!$BQ$17="R. Grosjean",2,0)+IF(Blad1!$BV$17="R. Grosjean",1,0)</f>
        <v>0</v>
      </c>
      <c r="BG17" s="555">
        <f>IF(Blad1!$AC$18="R. Grosjean",25,0)+IF(Blad1!$AH$18="R. Grosjean",18,0)+IF(Blad1!$AM$18="R. Grosjean",15,0)+IF(Blad1!$AR$18="R. Grosjean",12,0)+IF(Blad1!$AW$18="R. Grosjean",10,0)+IF(Blad1!$BB$18="R. Grosjean",8,0)+IF(Blad1!$BG$18="R. Grosjean",6,0)+IF(Blad1!$BL$18="R. Grosjean",4,0)+IF(Blad1!$BQ$18="R. Grosjean",2,0)+IF(Blad1!$BV$18="R. Grosjean",1,0)</f>
        <v>0</v>
      </c>
      <c r="BH17" s="555">
        <f>IF(Blad1!$AC$19="R. Grosjean",25,0)+IF(Blad1!$AH$19="R. Grosjean",18,0)+IF(Blad1!$AM$19="R. Grosjean",15,0)+IF(Blad1!$AR$19="R. Grosjean",12,0)+IF(Blad1!$AW$19="R. Grosjean",10,0)+IF(Blad1!$BB$19="R. Grosjean",8,0)+IF(Blad1!$BG$19="R. Grosjean",6,0)+IF(Blad1!$BL$19="R. Grosjean",4,0)+IF(Blad1!$BQ$19="R. Grosjean",2,0)+IF(Blad1!$BV$19="R. Grosjean",1,0)</f>
        <v>0</v>
      </c>
      <c r="BI17" s="555">
        <f>IF(Blad1!$AC$20="R. Grosjean",25,0)+IF(Blad1!$AH$20="R. Grosjean",18,0)+IF(Blad1!$AM$20="R. Grosjean",15,0)+IF(Blad1!$AR$20="R. Grosjean",12,0)+IF(Blad1!$AW$20="R. Grosjean",10,0)+IF(Blad1!$BB$20="R. Grosjean",8,0)+IF(Blad1!$BG$20="R. Grosjean",6,0)+IF(Blad1!$BL$20="R. Grosjean",4,0)+IF(Blad1!$BQ$20="R. Grosjean",2,0)+IF(Blad1!$BV$20="R. Grosjean",1,0)</f>
        <v>0</v>
      </c>
      <c r="BJ17" s="556">
        <f>IF(Blad1!$AC$21="R. Grosjean",25,0)+IF(Blad1!$AH$21="R. Grosjean",18,0)+IF(Blad1!$AM$21="R. Grosjean",15,0)+IF(Blad1!$AR$21="R. Grosjean",12,0)+IF(Blad1!$AW$21="R. Grosjean",10,0)+IF(Blad1!$BB$21="R. Grosjean",8,0)+IF(Blad1!$BG$21="R. Grosjean",6,0)+IF(Blad1!$BL$21="R. Grosjean",4,0)+IF(Blad1!$BQ$21="R. Grosjean",2,0)+IF(Blad1!$BV$21="R. Grosjean",1,0)</f>
        <v>0</v>
      </c>
      <c r="BK17" s="556">
        <f>IF(Blad1!$AC$22="R. Grosjean",25,0)+IF(Blad1!$AH$22="R. Grosjean",18,0)+IF(Blad1!$AM$22="R. Grosjean",15,0)+IF(Blad1!$AR$22="R. Grosjean",12,0)+IF(Blad1!$AW$22="R. Grosjean",10,0)+IF(Blad1!$BB$22="R. Grosjean",8,0)+IF(Blad1!$BG$22="R. Grosjean",6,0)+IF(Blad1!$BL$22="R. Grosjean",4,0)+IF(Blad1!$BQ$22="R. Grosjean",2,0)+IF(Blad1!$BV$22="R. Grosjean",1,0)</f>
        <v>0</v>
      </c>
      <c r="BL17" s="557">
        <f t="shared" si="5"/>
        <v>8</v>
      </c>
      <c r="BN17" s="762" t="s">
        <v>421</v>
      </c>
      <c r="BO17" s="759">
        <f t="shared" ref="BO17" si="64">AQ17+AQ18+CM17+CM18</f>
        <v>8</v>
      </c>
      <c r="BP17" s="750">
        <f t="shared" ref="BP17" si="65">AR17+AR18+CN17+CN18</f>
        <v>0</v>
      </c>
      <c r="BQ17" s="750">
        <f t="shared" ref="BQ17" si="66">AS17+AS18+CO17+CO18</f>
        <v>0</v>
      </c>
      <c r="BR17" s="750">
        <f t="shared" ref="BR17" si="67">AT17+AT18+CP17+CP18</f>
        <v>0</v>
      </c>
      <c r="BS17" s="750">
        <f t="shared" ref="BS17" si="68">AU17+AU18+CQ17+CQ18</f>
        <v>7</v>
      </c>
      <c r="BT17" s="750">
        <f t="shared" ref="BT17" si="69">AV17+AV18+CR17+CR18</f>
        <v>1</v>
      </c>
      <c r="BU17" s="750">
        <f t="shared" ref="BU17" si="70">AW17+AW18+CS17+CS18</f>
        <v>0</v>
      </c>
      <c r="BV17" s="750">
        <f t="shared" ref="BV17" si="71">AX17+AX18+CT17+CT18</f>
        <v>0</v>
      </c>
      <c r="BW17" s="750">
        <f t="shared" ref="BW17" si="72">AY17+AY18+CU17+CU18</f>
        <v>0</v>
      </c>
      <c r="BX17" s="750">
        <f t="shared" ref="BX17" si="73">AZ17+AZ18+CV17+CV18</f>
        <v>0</v>
      </c>
      <c r="BY17" s="750">
        <f t="shared" ref="BY17" si="74">BA17+BA18+CW17+CW18</f>
        <v>10</v>
      </c>
      <c r="BZ17" s="750">
        <f t="shared" ref="BZ17" si="75">BB17+BB18+CX17+CX18</f>
        <v>0</v>
      </c>
      <c r="CA17" s="750">
        <f t="shared" ref="CA17" si="76">BC17+BC18+CY17+CY18</f>
        <v>0</v>
      </c>
      <c r="CB17" s="750">
        <f t="shared" ref="CB17" si="77">BD17+BD18+CZ17+CZ18</f>
        <v>0</v>
      </c>
      <c r="CC17" s="750">
        <f t="shared" ref="CC17" si="78">BE17+BE18+DA17+DA18</f>
        <v>0</v>
      </c>
      <c r="CD17" s="750">
        <f t="shared" ref="CD17" si="79">BF17+BF18+DB17+DB18</f>
        <v>0</v>
      </c>
      <c r="CE17" s="750">
        <f t="shared" ref="CE17" si="80">BG17+BG18+DC17+DC18</f>
        <v>0</v>
      </c>
      <c r="CF17" s="750">
        <f t="shared" ref="CF17" si="81">BH17+BH18+DD17+DD18</f>
        <v>0</v>
      </c>
      <c r="CG17" s="750">
        <f t="shared" ref="CG17" si="82">BI17+BI18+DE17+DE18</f>
        <v>0</v>
      </c>
      <c r="CH17" s="750">
        <f t="shared" ref="CH17" si="83">BJ17+BJ18+DF17+DF18</f>
        <v>0</v>
      </c>
      <c r="CI17" s="755">
        <f t="shared" ref="CI17" si="84">BK17+BK18+DG17+DG18</f>
        <v>0</v>
      </c>
      <c r="CJ17" s="753">
        <f t="shared" ref="CJ17" si="85">SUM(BO17:CH18)</f>
        <v>26</v>
      </c>
      <c r="CL17" s="569" t="s">
        <v>349</v>
      </c>
      <c r="CM17" s="611">
        <f>IF(Blad1!Z$2=$CL17,1)*Blad1!EJ$2</f>
        <v>0</v>
      </c>
      <c r="CN17" s="609">
        <f>IF(Blad1!Z$3=$CL17,1)*Blad1!EJ$3</f>
        <v>0</v>
      </c>
      <c r="CO17" s="609">
        <f>IF(Blad1!Z$4=$CL17,1)*Blad1!EJ$4</f>
        <v>0</v>
      </c>
      <c r="CP17" s="609">
        <f>IF(Blad1!Z$5=$CL17,1)*Blad1!EJ$5</f>
        <v>0</v>
      </c>
      <c r="CQ17" s="609">
        <f>IF(Blad1!Z$6=$CL17,1)*Blad1!EJ$6</f>
        <v>0</v>
      </c>
      <c r="CR17" s="609">
        <f>IF(Blad1!Z$7=$CL17,1)*Blad1!EJ$7</f>
        <v>0</v>
      </c>
      <c r="CS17" s="609">
        <f>IF(Blad1!Z$8=$CL17,1)*Blad1!EJ$8</f>
        <v>0</v>
      </c>
      <c r="CT17" s="609">
        <f>IF(Blad1!Z$9=$CL17,1)*Blad1!EJ$9</f>
        <v>0</v>
      </c>
      <c r="CU17" s="609">
        <f>IF(Blad1!Z$10=$CL17,1)*Blad1!EJ$10</f>
        <v>0</v>
      </c>
      <c r="CV17" s="609">
        <f>IF(Blad1!Z$11=$CL17,1)*Blad1!EJ$11</f>
        <v>0</v>
      </c>
      <c r="CW17" s="609">
        <f>IF(Blad1!Z$12=$CL17,1)*Blad1!EJ$12</f>
        <v>0</v>
      </c>
      <c r="CX17" s="609">
        <f>IF(Blad1!Z$13=$CL17,1)*Blad1!EJ$13</f>
        <v>0</v>
      </c>
      <c r="CY17" s="609">
        <f>IF(Blad1!Z$14=$CL17,1)*Blad1!EJ$14</f>
        <v>0</v>
      </c>
      <c r="CZ17" s="609">
        <f>IF(Blad1!Z$15=$CL17,1)*Blad1!EJ$15</f>
        <v>0</v>
      </c>
      <c r="DA17" s="609">
        <f>IF(Blad1!Z$16=$CL17,1)*Blad1!EJ$16</f>
        <v>0</v>
      </c>
      <c r="DB17" s="609">
        <f>IF(Blad1!Z$17=$CL17,1)*Blad1!EJ$17</f>
        <v>0</v>
      </c>
      <c r="DC17" s="609">
        <f>IF(Blad1!Z$18=$CL17,1)*Blad1!EJ$18</f>
        <v>0</v>
      </c>
      <c r="DD17" s="609">
        <f>IF(Blad1!Z$19=$CL17,1)*Blad1!EJ$19</f>
        <v>0</v>
      </c>
      <c r="DE17" s="609">
        <f>IF(Blad1!Z$20=$CL17,1)*Blad1!EJ$20</f>
        <v>0</v>
      </c>
      <c r="DF17" s="609">
        <f>IF(Blad1!Z$21=$CL17,1)*Blad1!EJ$21</f>
        <v>0</v>
      </c>
      <c r="DG17" s="649">
        <f>IF(Blad1!Z$22=$CL17,1)*Blad1!EJ$22</f>
        <v>0</v>
      </c>
      <c r="DH17" s="652">
        <f t="shared" si="6"/>
        <v>0</v>
      </c>
    </row>
    <row r="18" spans="2:112" ht="15" customHeight="1" x14ac:dyDescent="0.2">
      <c r="B18" s="293">
        <v>10</v>
      </c>
      <c r="C18" s="296" t="s">
        <v>365</v>
      </c>
      <c r="D18" s="297">
        <f>VLOOKUP($C18,punten_rijder,2,0)+VLOOKUP($C18,snelste_ronde,2,0)</f>
        <v>1</v>
      </c>
      <c r="E18" s="297">
        <f>VLOOKUP($C18,punten_rijder,3,0)+VLOOKUP($C18,snelste_ronde,3,0)</f>
        <v>0</v>
      </c>
      <c r="F18" s="297">
        <f>VLOOKUP($C18,punten_rijder,4,0)+VLOOKUP($C18,snelste_ronde,4,0)</f>
        <v>0</v>
      </c>
      <c r="G18" s="297">
        <f>VLOOKUP($C18,punten_rijder,5,0)+VLOOKUP($C18,snelste_ronde,5,0)</f>
        <v>0</v>
      </c>
      <c r="H18" s="297">
        <f>VLOOKUP($C18,punten_rijder,6,0)+VLOOKUP($C18,snelste_ronde,6,0)</f>
        <v>2</v>
      </c>
      <c r="I18" s="297">
        <f>VLOOKUP($C18,punten_rijder,7,0)+VLOOKUP($C18,snelste_ronde,7,0)</f>
        <v>6</v>
      </c>
      <c r="J18" s="297">
        <f>VLOOKUP($C18,punten_rijder,8,0)+VLOOKUP($C18,snelste_ronde,8,0)</f>
        <v>1</v>
      </c>
      <c r="K18" s="297">
        <f>VLOOKUP($C18,punten_rijder,9,0)+VLOOKUP($C18,snelste_ronde,9,0)</f>
        <v>0</v>
      </c>
      <c r="L18" s="297">
        <f>VLOOKUP($C18,punten_rijder,10,0)+VLOOKUP($C18,snelste_ronde,10,0)</f>
        <v>0</v>
      </c>
      <c r="M18" s="297">
        <f>VLOOKUP($C18,punten_rijder,11,0)+VLOOKUP($C18,snelste_ronde,11,0)</f>
        <v>2</v>
      </c>
      <c r="N18" s="297">
        <f>VLOOKUP($C18,punten_rijder,12,0)+VLOOKUP($C18,snelste_ronde,12,0)</f>
        <v>15</v>
      </c>
      <c r="O18" s="297">
        <f>VLOOKUP($C18,punten_rijder,13,0)+VLOOKUP($C18,snelste_ronde,13,0)</f>
        <v>0</v>
      </c>
      <c r="P18" s="297">
        <f>VLOOKUP($C18,punten_rijder,14,0)+VLOOKUP($C18,snelste_ronde,14,0)</f>
        <v>6</v>
      </c>
      <c r="Q18" s="297">
        <f>VLOOKUP($C18,punten_rijder,15,0)+VLOOKUP($C18,snelste_ronde,15,0)</f>
        <v>0</v>
      </c>
      <c r="R18" s="297">
        <f>VLOOKUP($C18,punten_rijder,16,0)+VLOOKUP($C18,snelste_ronde,16,0)</f>
        <v>0</v>
      </c>
      <c r="S18" s="297">
        <f>VLOOKUP($C18,punten_rijder,17,0)+VLOOKUP($C18,snelste_ronde,17,0)</f>
        <v>0</v>
      </c>
      <c r="T18" s="297">
        <f>VLOOKUP($C18,punten_rijder,18,0)+VLOOKUP($C18,snelste_ronde,18,0)</f>
        <v>0</v>
      </c>
      <c r="U18" s="297">
        <f>VLOOKUP($C18,punten_rijder,19,0)+VLOOKUP($C18,snelste_ronde,19,0)</f>
        <v>0</v>
      </c>
      <c r="V18" s="297">
        <f>VLOOKUP($C18,punten_rijder,20,0)+VLOOKUP($C18,snelste_ronde,20,0)</f>
        <v>0</v>
      </c>
      <c r="W18" s="297">
        <f>VLOOKUP($C18,punten_rijder,21,0)+VLOOKUP($C18,snelste_ronde,21,0)</f>
        <v>0</v>
      </c>
      <c r="X18" s="297">
        <f>VLOOKUP($C18,punten_rijder,22,0)+VLOOKUP($C18,snelste_ronde,22,0)</f>
        <v>0</v>
      </c>
      <c r="Y18" s="297">
        <f>SUM(D18:X18)</f>
        <v>33</v>
      </c>
      <c r="Z18" s="547"/>
      <c r="AA18" s="288">
        <f t="shared" si="0"/>
        <v>8</v>
      </c>
      <c r="AB18" s="298" t="str">
        <f t="shared" si="3"/>
        <v>q</v>
      </c>
      <c r="AD18" s="548">
        <f t="shared" si="1"/>
        <v>3</v>
      </c>
      <c r="AE18" s="548"/>
      <c r="AF18" s="548"/>
      <c r="AH18" s="296" t="s">
        <v>542</v>
      </c>
      <c r="AI18" s="550">
        <v>10</v>
      </c>
      <c r="AK18" s="297">
        <f t="shared" si="4"/>
        <v>1</v>
      </c>
      <c r="AO18" s="545"/>
      <c r="AP18" s="553" t="s">
        <v>369</v>
      </c>
      <c r="AQ18" s="554">
        <f>IF(Blad1!$AC$2="K. Magnussen",25,0)+IF(Blad1!$AH$2="K. Magnussen",18,0)+IF(Blad1!$AM$2="K. Magnussen",15,0)+IF(Blad1!$AR$2="K. Magnussen",12,0)+IF(Blad1!$AW$2="K. Magnussen",10,0)+IF(Blad1!$BB$2="K. Magnussen",8,0)+IF(Blad1!$BG$2="K. Magnussen",6,0)+IF(Blad1!$BL$2="K. Magnussen",4,0)+IF(Blad1!$BQ$2="K. Magnussen",2,0)+IF(Blad1!$BV$2="K. Magnussen",1,0)</f>
        <v>8</v>
      </c>
      <c r="AR18" s="555">
        <f>IF(Blad1!$AC$3="K. Magnussen",25,0)+IF(Blad1!$AH$3="K. Magnussen",18,0)+IF(Blad1!$AM$3="K. Magnussen",15,0)+IF(Blad1!$AR$3="K. Magnussen",12,0)+IF(Blad1!$AW$3="K. Magnussen",10,0)+IF(Blad1!$BB$3="K. Magnussen",8,0)+IF(Blad1!$BG$3="K. Magnussen",6,0)+IF(Blad1!$BL$3="K. Magnussen",4,0)+IF(Blad1!$BQ$3="K. Magnussen",2,0)+IF(Blad1!$BV$3="K. Magnussen",1,0)</f>
        <v>0</v>
      </c>
      <c r="AS18" s="555">
        <f>IF(Blad1!$AC$4="K. Magnussen",25,0)+IF(Blad1!$AH$4="K. Magnussen",18,0)+IF(Blad1!$AM$4="K. Magnussen",15,0)+IF(Blad1!$AR$4="K. Magnussen",12,0)+IF(Blad1!$AW$4="K. Magnussen",10,0)+IF(Blad1!$BB$4="K. Magnussen",8,0)+IF(Blad1!$BG$4="K. Magnussen",6,0)+IF(Blad1!$BL$4="K. Magnussen",4,0)+IF(Blad1!$BQ$4="K. Magnussen",2,0)+IF(Blad1!$BV$4="K. Magnussen",1,0)</f>
        <v>0</v>
      </c>
      <c r="AT18" s="555">
        <f>IF(Blad1!$AC$5="K. Magnussen",25,0)+IF(Blad1!$AH$5="K. Magnussen",18,0)+IF(Blad1!$AM$5="K. Magnussen",15,0)+IF(Blad1!$AR$5="K. Magnussen",12,0)+IF(Blad1!$AW$5="K. Magnussen",10,0)+IF(Blad1!$BB$5="K. Magnussen",8,0)+IF(Blad1!$BG$5="K. Magnussen",6,0)+IF(Blad1!$BL$5="K. Magnussen",4,0)+IF(Blad1!$BQ$5="K. Magnussen",2,0)+IF(Blad1!$BV$5="K. Magnussen",1,0)</f>
        <v>0</v>
      </c>
      <c r="AU18" s="555">
        <f>IF(Blad1!$AC$6="K. Magnussen",25,0)+IF(Blad1!$AH$6="K. Magnussen",18,0)+IF(Blad1!$AM$6="K. Magnussen",15,0)+IF(Blad1!$AR$6="K. Magnussen",12,0)+IF(Blad1!$AW$6="K. Magnussen",10,0)+IF(Blad1!$BB$6="K. Magnussen",8,0)+IF(Blad1!$BG$6="K. Magnussen",6,0)+IF(Blad1!$BL$6="K. Magnussen",4,0)+IF(Blad1!$BQ$6="K. Magnussen",2,0)+IF(Blad1!$BV$6="K. Magnussen",1,0)</f>
        <v>6</v>
      </c>
      <c r="AV18" s="555">
        <f>IF(Blad1!$AC$7="K. Magnussen",25,0)+IF(Blad1!$AH$7="K. Magnussen",18,0)+IF(Blad1!$AM$7="K. Magnussen",15,0)+IF(Blad1!$AR$7="K. Magnussen",12,0)+IF(Blad1!$AW$7="K. Magnussen",10,0)+IF(Blad1!$BB$7="K. Magnussen",8,0)+IF(Blad1!$BG$7="K. Magnussen",6,0)+IF(Blad1!$BL$7="K. Magnussen",4,0)+IF(Blad1!$BQ$7="K. Magnussen",2,0)+IF(Blad1!$BV$7="K. Magnussen",1,0)</f>
        <v>0</v>
      </c>
      <c r="AW18" s="555">
        <f>IF(Blad1!$AC$8="K. Magnussen",25,0)+IF(Blad1!$AH$8="K. Magnussen",18,0)+IF(Blad1!$AM$8="K. Magnussen",15,0)+IF(Blad1!$AR$8="K. Magnussen",12,0)+IF(Blad1!$AW$8="K. Magnussen",10,0)+IF(Blad1!$BB$8="K. Magnussen",8,0)+IF(Blad1!$BG$8="K. Magnussen",6,0)+IF(Blad1!$BL$8="K. Magnussen",4,0)+IF(Blad1!$BQ$8="K. Magnussen",2,0)+IF(Blad1!$BV$8="K. Magnussen",1,0)</f>
        <v>0</v>
      </c>
      <c r="AX18" s="555">
        <f>IF(Blad1!$AC$9="K. Magnussen",25,0)+IF(Blad1!$AH$9="K. Magnussen",18,0)+IF(Blad1!$AM$9="K. Magnussen",15,0)+IF(Blad1!$AR$9="K. Magnussen",12,0)+IF(Blad1!$AW$9="K. Magnussen",10,0)+IF(Blad1!$BB$9="K. Magnussen",8,0)+IF(Blad1!$BG$9="K. Magnussen",6,0)+IF(Blad1!$BL$9="K. Magnussen",4,0)+IF(Blad1!$BQ$9="K. Magnussen",2,0)+IF(Blad1!$BV$9="K. Magnussen",1,0)</f>
        <v>0</v>
      </c>
      <c r="AY18" s="555">
        <f>IF(Blad1!$AC$10="K. Magnussen",25,0)+IF(Blad1!$AH$10="K. Magnussen",18,0)+IF(Blad1!$AM$10="K. Magnussen",15,0)+IF(Blad1!$AR$10="K. Magnussen",12,0)+IF(Blad1!$AW$10="K. Magnussen",10,0)+IF(Blad1!$BB$10="K. Magnussen",8,0)+IF(Blad1!$BG$10="K. Magnussen",6,0)+IF(Blad1!$BL$10="K. Magnussen",4,0)+IF(Blad1!$BQ$10="K. Magnussen",2,0)+IF(Blad1!$BV$10="K. Magnussen",1,0)</f>
        <v>0</v>
      </c>
      <c r="AZ18" s="555">
        <f>IF(Blad1!$AC$11="K. Magnussen",25,0)+IF(Blad1!$AH$11="K. Magnussen",18,0)+IF(Blad1!$AM$11="K. Magnussen",15,0)+IF(Blad1!$AR$11="K. Magnussen",12,0)+IF(Blad1!$AW$11="K. Magnussen",10,0)+IF(Blad1!$BB$11="K. Magnussen",8,0)+IF(Blad1!$BG$11="K. Magnussen",6,0)+IF(Blad1!$BL$11="K. Magnussen",4,0)+IF(Blad1!$BQ$11="K. Magnussen",2,0)+IF(Blad1!$BV$11="K. Magnussen",1,0)</f>
        <v>0</v>
      </c>
      <c r="BA18" s="555">
        <f>IF(Blad1!$AC$12="K. Magnussen",25,0)+IF(Blad1!$AH$12="K. Magnussen",18,0)+IF(Blad1!$AM$12="K. Magnussen",15,0)+IF(Blad1!$AR$12="K. Magnussen",12,0)+IF(Blad1!$AW$12="K. Magnussen",10,0)+IF(Blad1!$BB$12="K. Magnussen",8,0)+IF(Blad1!$BG$12="K. Magnussen",6,0)+IF(Blad1!$BL$12="K. Magnussen",4,0)+IF(Blad1!$BQ$12="K. Magnussen",2,0)+IF(Blad1!$BV$12="K. Magnussen",1,0)</f>
        <v>4</v>
      </c>
      <c r="BB18" s="555">
        <f>IF(Blad1!$AC$13="K. Magnussen",25,0)+IF(Blad1!$AH$13="K. Magnussen",18,0)+IF(Blad1!$AM$13="K. Magnussen",15,0)+IF(Blad1!$AR$13="K. Magnussen",12,0)+IF(Blad1!$AW$13="K. Magnussen",10,0)+IF(Blad1!$BB$13="K. Magnussen",8,0)+IF(Blad1!$BG$13="K. Magnussen",6,0)+IF(Blad1!$BL$13="K. Magnussen",4,0)+IF(Blad1!$BQ$13="K. Magnussen",2,0)+IF(Blad1!$BV$13="K. Magnussen",1,0)</f>
        <v>0</v>
      </c>
      <c r="BC18" s="555">
        <f>IF(Blad1!$AC$14="K. Magnussen",25,0)+IF(Blad1!$AH$14="K. Magnussen",18,0)+IF(Blad1!$AM$14="K. Magnussen",15,0)+IF(Blad1!$AR$14="K. Magnussen",12,0)+IF(Blad1!$AW$14="K. Magnussen",10,0)+IF(Blad1!$BB$14="K. Magnussen",8,0)+IF(Blad1!$BG$14="K. Magnussen",6,0)+IF(Blad1!$BL$14="K. Magnussen",4,0)+IF(Blad1!$BQ$14="K. Magnussen",2,0)+IF(Blad1!$BV$14="K. Magnussen",1,0)</f>
        <v>0</v>
      </c>
      <c r="BD18" s="555">
        <f>IF(Blad1!$AC$15="K. Magnussen",25,0)+IF(Blad1!$AH$15="K. Magnussen",18,0)+IF(Blad1!$AM$15="K. Magnussen",15,0)+IF(Blad1!$AR$15="K. Magnussen",12,0)+IF(Blad1!$AW$15="K. Magnussen",10,0)+IF(Blad1!$BB$15="K. Magnussen",8,0)+IF(Blad1!$BG$15="K. Magnussen",6,0)+IF(Blad1!$BL$15="K. Magnussen",4,0)+IF(Blad1!$BQ$15="K. Magnussen",2,0)+IF(Blad1!$BV$15="K. Magnussen",1,0)</f>
        <v>0</v>
      </c>
      <c r="BE18" s="555">
        <f>IF(Blad1!$AC$16="K. Magnussen",25,0)+IF(Blad1!$AH$16="K. Magnussen",18,0)+IF(Blad1!$AM$16="K. Magnussen",15,0)+IF(Blad1!$AR$16="K. Magnussen",12,0)+IF(Blad1!$AW$16="K. Magnussen",10,0)+IF(Blad1!$BB$16="K. Magnussen",8,0)+IF(Blad1!$BG$16="K. Magnussen",6,0)+IF(Blad1!$BL$16="K. Magnussen",4,0)+IF(Blad1!$BQ$16="K. Magnussen",2,0)+IF(Blad1!$BV$16="K. Magnussen",1,0)</f>
        <v>0</v>
      </c>
      <c r="BF18" s="555">
        <f>IF(Blad1!$AC$17="K. Magnussen",25,0)+IF(Blad1!$AH$17="K. Magnussen",18,0)+IF(Blad1!$AM$17="K. Magnussen",15,0)+IF(Blad1!$AR$17="K. Magnussen",12,0)+IF(Blad1!$AW$17="K. Magnussen",10,0)+IF(Blad1!$BB$17="K. Magnussen",8,0)+IF(Blad1!$BG$17="K. Magnussen",6,0)+IF(Blad1!$BL$17="K. Magnussen",4,0)+IF(Blad1!$BQ$17="K. Magnussen",2,0)+IF(Blad1!$BV$17="K. Magnussen",1,0)</f>
        <v>0</v>
      </c>
      <c r="BG18" s="555">
        <f>IF(Blad1!$AC$18="K. Magnussen",25,0)+IF(Blad1!$AH$18="K. Magnussen",18,0)+IF(Blad1!$AM$18="K. Magnussen",15,0)+IF(Blad1!$AR$18="K. Magnussen",12,0)+IF(Blad1!$AW$18="K. Magnussen",10,0)+IF(Blad1!$BB$18="K. Magnussen",8,0)+IF(Blad1!$BG$18="K. Magnussen",6,0)+IF(Blad1!$BL$18="K. Magnussen",4,0)+IF(Blad1!$BQ$18="K. Magnussen",2,0)+IF(Blad1!$BV$18="K. Magnussen",1,0)</f>
        <v>0</v>
      </c>
      <c r="BH18" s="555">
        <f>IF(Blad1!$AC$19="K. Magnussen",25,0)+IF(Blad1!$AH$19="K. Magnussen",18,0)+IF(Blad1!$AM$19="K. Magnussen",15,0)+IF(Blad1!$AR$19="K. Magnussen",12,0)+IF(Blad1!$AW$19="K. Magnussen",10,0)+IF(Blad1!$BB$19="K. Magnussen",8,0)+IF(Blad1!$BG$19="K. Magnussen",6,0)+IF(Blad1!$BL$19="K. Magnussen",4,0)+IF(Blad1!$BQ$19="K. Magnussen",2,0)+IF(Blad1!$BV$19="K. Magnussen",1,0)</f>
        <v>0</v>
      </c>
      <c r="BI18" s="555">
        <f>IF(Blad1!$AC$20="K. Magnussen",25,0)+IF(Blad1!$AH$20="K. Magnussen",18,0)+IF(Blad1!$AM$20="K. Magnussen",15,0)+IF(Blad1!$AR$20="K. Magnussen",12,0)+IF(Blad1!$AW$20="K. Magnussen",10,0)+IF(Blad1!$BB$20="K. Magnussen",8,0)+IF(Blad1!$BG$20="K. Magnussen",6,0)+IF(Blad1!$BL$20="K. Magnussen",4,0)+IF(Blad1!$BQ$20="K. Magnussen",2,0)+IF(Blad1!$BV$20="K. Magnussen",1,0)</f>
        <v>0</v>
      </c>
      <c r="BJ18" s="556">
        <f>IF(Blad1!$AC$21="K. Magnussen",25,0)+IF(Blad1!$AH$21="K. Magnussen",18,0)+IF(Blad1!$AM$21="K. Magnussen",15,0)+IF(Blad1!$AR$21="K. Magnussen",12,0)+IF(Blad1!$AW$21="K. Magnussen",10,0)+IF(Blad1!$BB$21="K. Magnussen",8,0)+IF(Blad1!$BG$21="K. Magnussen",6,0)+IF(Blad1!$BL$21="K. Magnussen",4,0)+IF(Blad1!$BQ$21="K. Magnussen",2,0)+IF(Blad1!$BV$21="K. Magnussen",1,0)</f>
        <v>0</v>
      </c>
      <c r="BK18" s="556">
        <f>IF(Blad1!$AC$22="K. Magnussen",25,0)+IF(Blad1!$AH$22="K. Magnussen",18,0)+IF(Blad1!$AM$22="K. Magnussen",15,0)+IF(Blad1!$AR$22="K. Magnussen",12,0)+IF(Blad1!$AW$22="K. Magnussen",10,0)+IF(Blad1!$BB$22="K. Magnussen",8,0)+IF(Blad1!$BG$22="K. Magnussen",6,0)+IF(Blad1!$BL$22="K. Magnussen",4,0)+IF(Blad1!$BQ$22="K. Magnussen",2,0)+IF(Blad1!$BV$22="K. Magnussen",1,0)</f>
        <v>0</v>
      </c>
      <c r="BL18" s="557">
        <f t="shared" si="5"/>
        <v>18</v>
      </c>
      <c r="BN18" s="762"/>
      <c r="BO18" s="759"/>
      <c r="BP18" s="750"/>
      <c r="BQ18" s="750"/>
      <c r="BR18" s="750"/>
      <c r="BS18" s="750"/>
      <c r="BT18" s="750"/>
      <c r="BU18" s="750"/>
      <c r="BV18" s="750"/>
      <c r="BW18" s="750"/>
      <c r="BX18" s="750"/>
      <c r="BY18" s="750"/>
      <c r="BZ18" s="750"/>
      <c r="CA18" s="750"/>
      <c r="CB18" s="750"/>
      <c r="CC18" s="750"/>
      <c r="CD18" s="750"/>
      <c r="CE18" s="750"/>
      <c r="CF18" s="750"/>
      <c r="CG18" s="750"/>
      <c r="CH18" s="750"/>
      <c r="CI18" s="755"/>
      <c r="CJ18" s="753"/>
      <c r="CL18" s="569" t="s">
        <v>369</v>
      </c>
      <c r="CM18" s="611">
        <f>IF(Blad1!Z$2=$CL18,1)*Blad1!EJ$2</f>
        <v>0</v>
      </c>
      <c r="CN18" s="609">
        <f>IF(Blad1!Z$3=$CL18,1)*Blad1!EJ$3</f>
        <v>0</v>
      </c>
      <c r="CO18" s="609">
        <f>IF(Blad1!Z$4=$CL18,1)*Blad1!EJ$4</f>
        <v>0</v>
      </c>
      <c r="CP18" s="609">
        <f>IF(Blad1!Z$5=$CL18,1)*Blad1!EJ$5</f>
        <v>0</v>
      </c>
      <c r="CQ18" s="609">
        <f>IF(Blad1!Z$6=$CL18,1)*Blad1!EJ$6</f>
        <v>0</v>
      </c>
      <c r="CR18" s="609">
        <f>IF(Blad1!Z$7=$CL18,1)*Blad1!EJ$7</f>
        <v>0</v>
      </c>
      <c r="CS18" s="609">
        <f>IF(Blad1!Z$8=$CL18,1)*Blad1!EJ$8</f>
        <v>0</v>
      </c>
      <c r="CT18" s="609">
        <f>IF(Blad1!Z$9=$CL18,1)*Blad1!EJ$9</f>
        <v>0</v>
      </c>
      <c r="CU18" s="609">
        <f>IF(Blad1!Z$10=$CL18,1)*Blad1!EJ$10</f>
        <v>0</v>
      </c>
      <c r="CV18" s="609">
        <f>IF(Blad1!Z$11=$CL18,1)*Blad1!EJ$11</f>
        <v>0</v>
      </c>
      <c r="CW18" s="609">
        <f>IF(Blad1!Z$12=$CL18,1)*Blad1!EJ$12</f>
        <v>0</v>
      </c>
      <c r="CX18" s="609">
        <f>IF(Blad1!Z$13=$CL18,1)*Blad1!EJ$13</f>
        <v>0</v>
      </c>
      <c r="CY18" s="609">
        <f>IF(Blad1!Z$14=$CL18,1)*Blad1!EJ$14</f>
        <v>0</v>
      </c>
      <c r="CZ18" s="609">
        <f>IF(Blad1!Z$15=$CL18,1)*Blad1!EJ$15</f>
        <v>0</v>
      </c>
      <c r="DA18" s="609">
        <f>IF(Blad1!Z$16=$CL18,1)*Blad1!EJ$16</f>
        <v>0</v>
      </c>
      <c r="DB18" s="609">
        <f>IF(Blad1!Z$17=$CL18,1)*Blad1!EJ$17</f>
        <v>0</v>
      </c>
      <c r="DC18" s="609">
        <f>IF(Blad1!Z$18=$CL18,1)*Blad1!EJ$18</f>
        <v>0</v>
      </c>
      <c r="DD18" s="609">
        <f>IF(Blad1!Z$19=$CL18,1)*Blad1!EJ$19</f>
        <v>0</v>
      </c>
      <c r="DE18" s="609">
        <f>IF(Blad1!Z$20=$CL18,1)*Blad1!EJ$20</f>
        <v>0</v>
      </c>
      <c r="DF18" s="609">
        <f>IF(Blad1!Z$21=$CL18,1)*Blad1!EJ$21</f>
        <v>0</v>
      </c>
      <c r="DG18" s="649">
        <f>IF(Blad1!Z$22=$CL18,1)*Blad1!EJ$22</f>
        <v>0</v>
      </c>
      <c r="DH18" s="652">
        <f t="shared" si="6"/>
        <v>0</v>
      </c>
    </row>
    <row r="19" spans="2:112" ht="15" customHeight="1" x14ac:dyDescent="0.2">
      <c r="B19" s="293">
        <v>11</v>
      </c>
      <c r="C19" s="296" t="s">
        <v>63</v>
      </c>
      <c r="D19" s="297">
        <f>VLOOKUP($C19,punten_rijder,2,0)+VLOOKUP($C19,snelste_ronde,2,0)</f>
        <v>4</v>
      </c>
      <c r="E19" s="297">
        <f>VLOOKUP($C19,punten_rijder,3,0)+VLOOKUP($C19,snelste_ronde,3,0)</f>
        <v>6</v>
      </c>
      <c r="F19" s="297">
        <f>VLOOKUP($C19,punten_rijder,4,0)+VLOOKUP($C19,snelste_ronde,4,0)</f>
        <v>2</v>
      </c>
      <c r="G19" s="297">
        <f>VLOOKUP($C19,punten_rijder,5,0)+VLOOKUP($C19,snelste_ronde,5,0)</f>
        <v>1</v>
      </c>
      <c r="H19" s="297">
        <f>VLOOKUP($C19,punten_rijder,6,0)+VLOOKUP($C19,snelste_ronde,6,0)</f>
        <v>0</v>
      </c>
      <c r="I19" s="297">
        <f>VLOOKUP($C19,punten_rijder,7,0)+VLOOKUP($C19,snelste_ronde,7,0)</f>
        <v>0</v>
      </c>
      <c r="J19" s="297">
        <f>VLOOKUP($C19,punten_rijder,8,0)+VLOOKUP($C19,snelste_ronde,8,0)</f>
        <v>0</v>
      </c>
      <c r="K19" s="297">
        <f>VLOOKUP($C19,punten_rijder,9,0)+VLOOKUP($C19,snelste_ronde,9,0)</f>
        <v>6</v>
      </c>
      <c r="L19" s="297">
        <f>VLOOKUP($C19,punten_rijder,10,0)+VLOOKUP($C19,snelste_ronde,10,0)</f>
        <v>2</v>
      </c>
      <c r="M19" s="297">
        <f>VLOOKUP($C19,punten_rijder,11,0)+VLOOKUP($C19,snelste_ronde,11,0)</f>
        <v>4</v>
      </c>
      <c r="N19" s="297">
        <f>VLOOKUP($C19,punten_rijder,12,0)+VLOOKUP($C19,snelste_ronde,12,0)</f>
        <v>0</v>
      </c>
      <c r="O19" s="297">
        <f>VLOOKUP($C19,punten_rijder,13,0)+VLOOKUP($C19,snelste_ronde,13,0)</f>
        <v>6</v>
      </c>
      <c r="P19" s="297">
        <f>VLOOKUP($C19,punten_rijder,14,0)+VLOOKUP($C19,snelste_ronde,14,0)</f>
        <v>0</v>
      </c>
      <c r="Q19" s="297">
        <f>VLOOKUP($C19,punten_rijder,15,0)+VLOOKUP($C19,snelste_ronde,15,0)</f>
        <v>0</v>
      </c>
      <c r="R19" s="297">
        <f>VLOOKUP($C19,punten_rijder,16,0)+VLOOKUP($C19,snelste_ronde,16,0)</f>
        <v>0</v>
      </c>
      <c r="S19" s="297">
        <f>VLOOKUP($C19,punten_rijder,17,0)+VLOOKUP($C19,snelste_ronde,17,0)</f>
        <v>0</v>
      </c>
      <c r="T19" s="297">
        <f>VLOOKUP($C19,punten_rijder,18,0)+VLOOKUP($C19,snelste_ronde,18,0)</f>
        <v>0</v>
      </c>
      <c r="U19" s="297">
        <f>VLOOKUP($C19,punten_rijder,19,0)+VLOOKUP($C19,snelste_ronde,19,0)</f>
        <v>0</v>
      </c>
      <c r="V19" s="297">
        <f>VLOOKUP($C19,punten_rijder,20,0)+VLOOKUP($C19,snelste_ronde,20,0)</f>
        <v>0</v>
      </c>
      <c r="W19" s="297">
        <f>VLOOKUP($C19,punten_rijder,21,0)+VLOOKUP($C19,snelste_ronde,21,0)</f>
        <v>0</v>
      </c>
      <c r="X19" s="297">
        <f>VLOOKUP($C19,punten_rijder,22,0)+VLOOKUP($C19,snelste_ronde,22,0)</f>
        <v>0</v>
      </c>
      <c r="Y19" s="297">
        <f>SUM(D19:X19)</f>
        <v>31</v>
      </c>
      <c r="Z19" s="547"/>
      <c r="AA19" s="288">
        <f t="shared" si="0"/>
        <v>9</v>
      </c>
      <c r="AB19" s="298" t="str">
        <f t="shared" si="3"/>
        <v>q</v>
      </c>
      <c r="AD19" s="548">
        <f t="shared" si="1"/>
        <v>3</v>
      </c>
      <c r="AE19" s="548"/>
      <c r="AF19" s="548"/>
      <c r="AH19" s="296" t="s">
        <v>529</v>
      </c>
      <c r="AI19" s="550">
        <v>11</v>
      </c>
      <c r="AK19" s="297">
        <f t="shared" si="4"/>
        <v>2</v>
      </c>
      <c r="AO19" s="545"/>
      <c r="AP19" s="553" t="s">
        <v>418</v>
      </c>
      <c r="AQ19" s="554">
        <f>IF(Blad1!$AC$2="C. Sainz",25,0)+IF(Blad1!$AH$2="C. Sainz",18,0)+IF(Blad1!$AM$2="C. Sainz",15,0)+IF(Blad1!$AR$2="C. Sainz",12,0)+IF(Blad1!$AW$2="C. Sainz",10,0)+IF(Blad1!$BB$2="C. Sainz",8,0)+IF(Blad1!$BG$2="C. Sainz",6,0)+IF(Blad1!$BL$2="C. Sainz",4,0)+IF(Blad1!$BQ$2="C. Sainz",2,0)+IF(Blad1!$BV$2="C. Sainz",1,0)</f>
        <v>0</v>
      </c>
      <c r="AR19" s="555">
        <f>IF(Blad1!$AC$3="C. Sainz",25,0)+IF(Blad1!$AH$3="C. Sainz",18,0)+IF(Blad1!$AM$3="C. Sainz",15,0)+IF(Blad1!$AR$3="C. Sainz",12,0)+IF(Blad1!$AW$3="C. Sainz",10,0)+IF(Blad1!$BB$3="C. Sainz",8,0)+IF(Blad1!$BG$3="C. Sainz",6,0)+IF(Blad1!$BL$3="C. Sainz",4,0)+IF(Blad1!$BQ$3="C. Sainz",2,0)+IF(Blad1!$BV$3="C. Sainz",1,0)</f>
        <v>0</v>
      </c>
      <c r="AS19" s="555">
        <f>IF(Blad1!$AC$4="C. Sainz",25,0)+IF(Blad1!$AH$4="C. Sainz",18,0)+IF(Blad1!$AM$4="C. Sainz",15,0)+IF(Blad1!$AR$4="C. Sainz",12,0)+IF(Blad1!$AW$4="C. Sainz",10,0)+IF(Blad1!$BB$4="C. Sainz",8,0)+IF(Blad1!$BG$4="C. Sainz",6,0)+IF(Blad1!$BL$4="C. Sainz",4,0)+IF(Blad1!$BQ$4="C. Sainz",2,0)+IF(Blad1!$BV$4="C. Sainz",1,0)</f>
        <v>0</v>
      </c>
      <c r="AT19" s="555">
        <f>IF(Blad1!$AC$5="C. Sainz",25,0)+IF(Blad1!$AH$5="C. Sainz",18,0)+IF(Blad1!$AM$5="C. Sainz",15,0)+IF(Blad1!$AR$5="C. Sainz",12,0)+IF(Blad1!$AW$5="C. Sainz",10,0)+IF(Blad1!$BB$5="C. Sainz",8,0)+IF(Blad1!$BG$5="C. Sainz",6,0)+IF(Blad1!$BL$5="C. Sainz",4,0)+IF(Blad1!$BQ$5="C. Sainz",2,0)+IF(Blad1!$BV$5="C. Sainz",1,0)</f>
        <v>6</v>
      </c>
      <c r="AU19" s="555">
        <f>IF(Blad1!$AC$6="C. Sainz",25,0)+IF(Blad1!$AH$6="C. Sainz",18,0)+IF(Blad1!$AM$6="C. Sainz",15,0)+IF(Blad1!$AR$6="C. Sainz",12,0)+IF(Blad1!$AW$6="C. Sainz",10,0)+IF(Blad1!$BB$6="C. Sainz",8,0)+IF(Blad1!$BG$6="C. Sainz",6,0)+IF(Blad1!$BL$6="C. Sainz",4,0)+IF(Blad1!$BQ$6="C. Sainz",2,0)+IF(Blad1!$BV$6="C. Sainz",1,0)</f>
        <v>4</v>
      </c>
      <c r="AV19" s="555">
        <f>IF(Blad1!$AC$7="C. Sainz",25,0)+IF(Blad1!$AH$7="C. Sainz",18,0)+IF(Blad1!$AM$7="C. Sainz",15,0)+IF(Blad1!$AR$7="C. Sainz",12,0)+IF(Blad1!$AW$7="C. Sainz",10,0)+IF(Blad1!$BB$7="C. Sainz",8,0)+IF(Blad1!$BG$7="C. Sainz",6,0)+IF(Blad1!$BL$7="C. Sainz",4,0)+IF(Blad1!$BQ$7="C. Sainz",2,0)+IF(Blad1!$BV$7="C. Sainz",1,0)</f>
        <v>8</v>
      </c>
      <c r="AW19" s="555">
        <f>IF(Blad1!$AC$8="C. Sainz",25,0)+IF(Blad1!$AH$8="C. Sainz",18,0)+IF(Blad1!$AM$8="C. Sainz",15,0)+IF(Blad1!$AR$8="C. Sainz",12,0)+IF(Blad1!$AW$8="C. Sainz",10,0)+IF(Blad1!$BB$8="C. Sainz",8,0)+IF(Blad1!$BG$8="C. Sainz",6,0)+IF(Blad1!$BL$8="C. Sainz",4,0)+IF(Blad1!$BQ$8="C. Sainz",2,0)+IF(Blad1!$BV$8="C. Sainz",1,0)</f>
        <v>0</v>
      </c>
      <c r="AX19" s="555">
        <f>IF(Blad1!$AC$9="C. Sainz",25,0)+IF(Blad1!$AH$9="C. Sainz",18,0)+IF(Blad1!$AM$9="C. Sainz",15,0)+IF(Blad1!$AR$9="C. Sainz",12,0)+IF(Blad1!$AW$9="C. Sainz",10,0)+IF(Blad1!$BB$9="C. Sainz",8,0)+IF(Blad1!$BG$9="C. Sainz",6,0)+IF(Blad1!$BL$9="C. Sainz",4,0)+IF(Blad1!$BQ$9="C. Sainz",2,0)+IF(Blad1!$BV$9="C. Sainz",1,0)</f>
        <v>8</v>
      </c>
      <c r="AY19" s="555">
        <f>IF(Blad1!$AC$10="C. Sainz",25,0)+IF(Blad1!$AH$10="C. Sainz",18,0)+IF(Blad1!$AM$10="C. Sainz",15,0)+IF(Blad1!$AR$10="C. Sainz",12,0)+IF(Blad1!$AW$10="C. Sainz",10,0)+IF(Blad1!$BB$10="C. Sainz",8,0)+IF(Blad1!$BG$10="C. Sainz",6,0)+IF(Blad1!$BL$10="C. Sainz",4,0)+IF(Blad1!$BQ$10="C. Sainz",2,0)+IF(Blad1!$BV$10="C. Sainz",1,0)</f>
        <v>4</v>
      </c>
      <c r="AZ19" s="555">
        <f>IF(Blad1!$AC$11="C. Sainz",25,0)+IF(Blad1!$AH$11="C. Sainz",18,0)+IF(Blad1!$AM$11="C. Sainz",15,0)+IF(Blad1!$AR$11="C. Sainz",12,0)+IF(Blad1!$AW$11="C. Sainz",10,0)+IF(Blad1!$BB$11="C. Sainz",8,0)+IF(Blad1!$BG$11="C. Sainz",6,0)+IF(Blad1!$BL$11="C. Sainz",4,0)+IF(Blad1!$BQ$11="C. Sainz",2,0)+IF(Blad1!$BV$11="C. Sainz",1,0)</f>
        <v>8</v>
      </c>
      <c r="BA19" s="555">
        <f>IF(Blad1!$AC$12="C. Sainz",25,0)+IF(Blad1!$AH$12="C. Sainz",18,0)+IF(Blad1!$AM$12="C. Sainz",15,0)+IF(Blad1!$AR$12="C. Sainz",12,0)+IF(Blad1!$AW$12="C. Sainz",10,0)+IF(Blad1!$BB$12="C. Sainz",8,0)+IF(Blad1!$BG$12="C. Sainz",6,0)+IF(Blad1!$BL$12="C. Sainz",4,0)+IF(Blad1!$BQ$12="C. Sainz",2,0)+IF(Blad1!$BV$12="C. Sainz",1,0)</f>
        <v>10</v>
      </c>
      <c r="BB19" s="555">
        <f>IF(Blad1!$AC$13="C. Sainz",25,0)+IF(Blad1!$AH$13="C. Sainz",18,0)+IF(Blad1!$AM$13="C. Sainz",15,0)+IF(Blad1!$AR$13="C. Sainz",12,0)+IF(Blad1!$AW$13="C. Sainz",10,0)+IF(Blad1!$BB$13="C. Sainz",8,0)+IF(Blad1!$BG$13="C. Sainz",6,0)+IF(Blad1!$BL$13="C. Sainz",4,0)+IF(Blad1!$BQ$13="C. Sainz",2,0)+IF(Blad1!$BV$13="C. Sainz",1,0)</f>
        <v>10</v>
      </c>
      <c r="BC19" s="555">
        <f>IF(Blad1!$AC$14="C. Sainz",25,0)+IF(Blad1!$AH$14="C. Sainz",18,0)+IF(Blad1!$AM$14="C. Sainz",15,0)+IF(Blad1!$AR$14="C. Sainz",12,0)+IF(Blad1!$AW$14="C. Sainz",10,0)+IF(Blad1!$BB$14="C. Sainz",8,0)+IF(Blad1!$BG$14="C. Sainz",6,0)+IF(Blad1!$BL$14="C. Sainz",4,0)+IF(Blad1!$BQ$14="C. Sainz",2,0)+IF(Blad1!$BV$14="C. Sainz",1,0)</f>
        <v>0</v>
      </c>
      <c r="BD19" s="555">
        <f>IF(Blad1!$AC$15="C. Sainz",25,0)+IF(Blad1!$AH$15="C. Sainz",18,0)+IF(Blad1!$AM$15="C. Sainz",15,0)+IF(Blad1!$AR$15="C. Sainz",12,0)+IF(Blad1!$AW$15="C. Sainz",10,0)+IF(Blad1!$BB$15="C. Sainz",8,0)+IF(Blad1!$BG$15="C. Sainz",6,0)+IF(Blad1!$BL$15="C. Sainz",4,0)+IF(Blad1!$BQ$15="C. Sainz",2,0)+IF(Blad1!$BV$15="C. Sainz",1,0)</f>
        <v>0</v>
      </c>
      <c r="BE19" s="555">
        <f>IF(Blad1!$AC$16="C. Sainz",25,0)+IF(Blad1!$AH$16="C. Sainz",18,0)+IF(Blad1!$AM$16="C. Sainz",15,0)+IF(Blad1!$AR$16="C. Sainz",12,0)+IF(Blad1!$AW$16="C. Sainz",10,0)+IF(Blad1!$BB$16="C. Sainz",8,0)+IF(Blad1!$BG$16="C. Sainz",6,0)+IF(Blad1!$BL$16="C. Sainz",4,0)+IF(Blad1!$BQ$16="C. Sainz",2,0)+IF(Blad1!$BV$16="C. Sainz",1,0)</f>
        <v>0</v>
      </c>
      <c r="BF19" s="555">
        <f>IF(Blad1!$AC$17="C. Sainz",25,0)+IF(Blad1!$AH$17="C. Sainz",18,0)+IF(Blad1!$AM$17="C. Sainz",15,0)+IF(Blad1!$AR$17="C. Sainz",12,0)+IF(Blad1!$AW$17="C. Sainz",10,0)+IF(Blad1!$BB$17="C. Sainz",8,0)+IF(Blad1!$BG$17="C. Sainz",6,0)+IF(Blad1!$BL$17="C. Sainz",4,0)+IF(Blad1!$BQ$17="C. Sainz",2,0)+IF(Blad1!$BV$17="C. Sainz",1,0)</f>
        <v>0</v>
      </c>
      <c r="BG19" s="555">
        <f>IF(Blad1!$AC$18="C. Sainz",25,0)+IF(Blad1!$AH$18="C. Sainz",18,0)+IF(Blad1!$AM$18="C. Sainz",15,0)+IF(Blad1!$AR$18="C. Sainz",12,0)+IF(Blad1!$AW$18="C. Sainz",10,0)+IF(Blad1!$BB$18="C. Sainz",8,0)+IF(Blad1!$BG$18="C. Sainz",6,0)+IF(Blad1!$BL$18="C. Sainz",4,0)+IF(Blad1!$BQ$18="C. Sainz",2,0)+IF(Blad1!$BV$18="C. Sainz",1,0)</f>
        <v>0</v>
      </c>
      <c r="BH19" s="555">
        <f>IF(Blad1!$AC$19="C. Sainz",25,0)+IF(Blad1!$AH$19="C. Sainz",18,0)+IF(Blad1!$AM$19="C. Sainz",15,0)+IF(Blad1!$AR$19="C. Sainz",12,0)+IF(Blad1!$AW$19="C. Sainz",10,0)+IF(Blad1!$BB$19="C. Sainz",8,0)+IF(Blad1!$BG$19="C. Sainz",6,0)+IF(Blad1!$BL$19="C. Sainz",4,0)+IF(Blad1!$BQ$19="C. Sainz",2,0)+IF(Blad1!$BV$19="C. Sainz",1,0)</f>
        <v>0</v>
      </c>
      <c r="BI19" s="555">
        <f>IF(Blad1!$AC$20="C. Sainz",25,0)+IF(Blad1!$AH$20="C. Sainz",18,0)+IF(Blad1!$AM$20="C. Sainz",15,0)+IF(Blad1!$AR$20="C. Sainz",12,0)+IF(Blad1!$AW$20="C. Sainz",10,0)+IF(Blad1!$BB$20="C. Sainz",8,0)+IF(Blad1!$BG$20="C. Sainz",6,0)+IF(Blad1!$BL$20="C. Sainz",4,0)+IF(Blad1!$BQ$20="C. Sainz",2,0)+IF(Blad1!$BV$20="C. Sainz",1,0)</f>
        <v>0</v>
      </c>
      <c r="BJ19" s="556">
        <f>IF(Blad1!$AC$21="C. Sainz",25,0)+IF(Blad1!$AH$21="C. Sainz",18,0)+IF(Blad1!$AM$21="C. Sainz",15,0)+IF(Blad1!$AR$21="C. Sainz",12,0)+IF(Blad1!$AW$21="C. Sainz",10,0)+IF(Blad1!$BB$21="C. Sainz",8,0)+IF(Blad1!$BG$21="C. Sainz",6,0)+IF(Blad1!$BL$21="C. Sainz",4,0)+IF(Blad1!$BQ$21="C. Sainz",2,0)+IF(Blad1!$BV$21="C. Sainz",1,0)</f>
        <v>0</v>
      </c>
      <c r="BK19" s="556">
        <f>IF(Blad1!$AC$22="C. Sainz",25,0)+IF(Blad1!$AH$22="C. Sainz",18,0)+IF(Blad1!$AM$22="C. Sainz",15,0)+IF(Blad1!$AR$22="C. Sainz",12,0)+IF(Blad1!$AW$22="C. Sainz",10,0)+IF(Blad1!$BB$22="C. Sainz",8,0)+IF(Blad1!$BG$22="C. Sainz",6,0)+IF(Blad1!$BL$22="C. Sainz",4,0)+IF(Blad1!$BQ$22="C. Sainz",2,0)+IF(Blad1!$BV$22="C. Sainz",1,0)</f>
        <v>0</v>
      </c>
      <c r="BL19" s="557">
        <f t="shared" si="5"/>
        <v>58</v>
      </c>
      <c r="BN19" s="762" t="s">
        <v>65</v>
      </c>
      <c r="BO19" s="759">
        <f t="shared" ref="BO19" si="86">AQ19+AQ20+CM19+CM20</f>
        <v>0</v>
      </c>
      <c r="BP19" s="750">
        <f t="shared" ref="BP19" si="87">AR19+AR20+CN19+CN20</f>
        <v>8</v>
      </c>
      <c r="BQ19" s="750">
        <f t="shared" ref="BQ19" si="88">AS19+AS20+CO19+CO20</f>
        <v>0</v>
      </c>
      <c r="BR19" s="750">
        <f t="shared" ref="BR19" si="89">AT19+AT20+CP19+CP20</f>
        <v>10</v>
      </c>
      <c r="BS19" s="750">
        <f t="shared" ref="BS19" si="90">AU19+AU20+CQ19+CQ20</f>
        <v>4</v>
      </c>
      <c r="BT19" s="750">
        <f t="shared" ref="BT19" si="91">AV19+AV20+CR19+CR20</f>
        <v>8</v>
      </c>
      <c r="BU19" s="750">
        <f t="shared" ref="BU19" si="92">AW19+AW20+CS19+CS20</f>
        <v>0</v>
      </c>
      <c r="BV19" s="750">
        <f t="shared" ref="BV19" si="93">AX19+AX20+CT19+CT20</f>
        <v>10</v>
      </c>
      <c r="BW19" s="750">
        <f t="shared" ref="BW19" si="94">AY19+AY20+CU19+CU20</f>
        <v>12</v>
      </c>
      <c r="BX19" s="750">
        <f t="shared" ref="BX19" si="95">AZ19+AZ20+CV19+CV20</f>
        <v>8</v>
      </c>
      <c r="BY19" s="750">
        <f t="shared" ref="BY19" si="96">BA19+BA20+CW19+CW20</f>
        <v>10</v>
      </c>
      <c r="BZ19" s="750">
        <f t="shared" ref="BZ19" si="97">BB19+BB20+CX19+CX20</f>
        <v>12</v>
      </c>
      <c r="CA19" s="750">
        <f t="shared" ref="CA19" si="98">BC19+BC20+CY19+CY20</f>
        <v>0</v>
      </c>
      <c r="CB19" s="750">
        <f t="shared" ref="CB19" si="99">BD19+BD20+CZ19+CZ20</f>
        <v>1</v>
      </c>
      <c r="CC19" s="750">
        <f t="shared" ref="CC19" si="100">BE19+BE20+DA19+DA20</f>
        <v>0</v>
      </c>
      <c r="CD19" s="750">
        <f t="shared" ref="CD19" si="101">BF19+BF20+DB19+DB20</f>
        <v>0</v>
      </c>
      <c r="CE19" s="750">
        <f t="shared" ref="CE19" si="102">BG19+BG20+DC19+DC20</f>
        <v>0</v>
      </c>
      <c r="CF19" s="750">
        <f t="shared" ref="CF19" si="103">BH19+BH20+DD19+DD20</f>
        <v>0</v>
      </c>
      <c r="CG19" s="750">
        <f t="shared" ref="CG19" si="104">BI19+BI20+DE19+DE20</f>
        <v>0</v>
      </c>
      <c r="CH19" s="750">
        <f t="shared" ref="CH19" si="105">BJ19+BJ20+DF19+DF20</f>
        <v>0</v>
      </c>
      <c r="CI19" s="755">
        <f t="shared" ref="CI19" si="106">BK19+BK20+DG19+DG20</f>
        <v>0</v>
      </c>
      <c r="CJ19" s="753">
        <f t="shared" ref="CJ19" si="107">SUM(BO19:CH20)</f>
        <v>83</v>
      </c>
      <c r="CL19" s="569" t="s">
        <v>418</v>
      </c>
      <c r="CM19" s="611">
        <f>IF(Blad1!Z$2=$CL19,1)*Blad1!EJ$2</f>
        <v>0</v>
      </c>
      <c r="CN19" s="609">
        <f>IF(Blad1!Z$3=$CL19,1)*Blad1!EJ$3</f>
        <v>0</v>
      </c>
      <c r="CO19" s="609">
        <f>IF(Blad1!Z$4=$CL19,1)*Blad1!EJ$4</f>
        <v>0</v>
      </c>
      <c r="CP19" s="609">
        <f>IF(Blad1!Z$5=$CL19,1)*Blad1!EJ$5</f>
        <v>0</v>
      </c>
      <c r="CQ19" s="609">
        <f>IF(Blad1!Z$6=$CL19,1)*Blad1!EJ$6</f>
        <v>0</v>
      </c>
      <c r="CR19" s="609">
        <f>IF(Blad1!Z$7=$CL19,1)*Blad1!EJ$7</f>
        <v>0</v>
      </c>
      <c r="CS19" s="609">
        <f>IF(Blad1!Z$8=$CL19,1)*Blad1!EJ$8</f>
        <v>0</v>
      </c>
      <c r="CT19" s="609">
        <f>IF(Blad1!Z$9=$CL19,1)*Blad1!EJ$9</f>
        <v>0</v>
      </c>
      <c r="CU19" s="609">
        <f>IF(Blad1!Z$10=$CL19,1)*Blad1!EJ$10</f>
        <v>0</v>
      </c>
      <c r="CV19" s="609">
        <f>IF(Blad1!Z$11=$CL19,1)*Blad1!EJ$11</f>
        <v>0</v>
      </c>
      <c r="CW19" s="609">
        <f>IF(Blad1!Z$12=$CL19,1)*Blad1!EJ$12</f>
        <v>0</v>
      </c>
      <c r="CX19" s="609">
        <f>IF(Blad1!Z$13=$CL19,1)*Blad1!EJ$13</f>
        <v>0</v>
      </c>
      <c r="CY19" s="609">
        <f>IF(Blad1!Z$14=$CL19,1)*Blad1!EJ$14</f>
        <v>0</v>
      </c>
      <c r="CZ19" s="609">
        <f>IF(Blad1!Z$15=$CL19,1)*Blad1!EJ$15</f>
        <v>0</v>
      </c>
      <c r="DA19" s="609">
        <f>IF(Blad1!Z$16=$CL19,1)*Blad1!EJ$16</f>
        <v>0</v>
      </c>
      <c r="DB19" s="609">
        <f>IF(Blad1!Z$17=$CL19,1)*Blad1!EJ$17</f>
        <v>0</v>
      </c>
      <c r="DC19" s="609">
        <f>IF(Blad1!Z$18=$CL19,1)*Blad1!EJ$18</f>
        <v>0</v>
      </c>
      <c r="DD19" s="609">
        <f>IF(Blad1!Z$19=$CL19,1)*Blad1!EJ$19</f>
        <v>0</v>
      </c>
      <c r="DE19" s="609">
        <f>IF(Blad1!Z$20=$CL19,1)*Blad1!EJ$20</f>
        <v>0</v>
      </c>
      <c r="DF19" s="609">
        <f>IF(Blad1!Z$21=$CL19,1)*Blad1!EJ$21</f>
        <v>0</v>
      </c>
      <c r="DG19" s="649">
        <f>IF(Blad1!Z$22=$CL19,1)*Blad1!EJ$22</f>
        <v>0</v>
      </c>
      <c r="DH19" s="652">
        <f t="shared" si="6"/>
        <v>0</v>
      </c>
    </row>
    <row r="20" spans="2:112" ht="15" customHeight="1" x14ac:dyDescent="0.2">
      <c r="B20" s="293">
        <v>12</v>
      </c>
      <c r="C20" s="296" t="s">
        <v>329</v>
      </c>
      <c r="D20" s="297">
        <f>VLOOKUP($C20,punten_rijder,2,0)+VLOOKUP($C20,snelste_ronde,2,0)</f>
        <v>6</v>
      </c>
      <c r="E20" s="297">
        <f>VLOOKUP($C20,punten_rijder,3,0)+VLOOKUP($C20,snelste_ronde,3,0)</f>
        <v>0</v>
      </c>
      <c r="F20" s="297">
        <f>VLOOKUP($C20,punten_rijder,4,0)+VLOOKUP($C20,snelste_ronde,4,0)</f>
        <v>0</v>
      </c>
      <c r="G20" s="297">
        <f>VLOOKUP($C20,punten_rijder,5,0)+VLOOKUP($C20,snelste_ronde,5,0)</f>
        <v>0</v>
      </c>
      <c r="H20" s="297">
        <f>VLOOKUP($C20,punten_rijder,6,0)+VLOOKUP($C20,snelste_ronde,6,0)</f>
        <v>0</v>
      </c>
      <c r="I20" s="297">
        <f>VLOOKUP($C20,punten_rijder,7,0)+VLOOKUP($C20,snelste_ronde,7,0)</f>
        <v>0</v>
      </c>
      <c r="J20" s="297">
        <f>VLOOKUP($C20,punten_rijder,8,0)+VLOOKUP($C20,snelste_ronde,8,0)</f>
        <v>6</v>
      </c>
      <c r="K20" s="297">
        <f>VLOOKUP($C20,punten_rijder,9,0)+VLOOKUP($C20,snelste_ronde,9,0)</f>
        <v>4</v>
      </c>
      <c r="L20" s="297">
        <f>VLOOKUP($C20,punten_rijder,10,0)+VLOOKUP($C20,snelste_ronde,10,0)</f>
        <v>0</v>
      </c>
      <c r="M20" s="297">
        <f>VLOOKUP($C20,punten_rijder,11,0)+VLOOKUP($C20,snelste_ronde,11,0)</f>
        <v>1</v>
      </c>
      <c r="N20" s="297">
        <f>VLOOKUP($C20,punten_rijder,12,0)+VLOOKUP($C20,snelste_ronde,12,0)</f>
        <v>0</v>
      </c>
      <c r="O20" s="297">
        <f>VLOOKUP($C20,punten_rijder,13,0)+VLOOKUP($C20,snelste_ronde,13,0)</f>
        <v>0</v>
      </c>
      <c r="P20" s="297">
        <f>VLOOKUP($C20,punten_rijder,14,0)+VLOOKUP($C20,snelste_ronde,14,0)</f>
        <v>4</v>
      </c>
      <c r="Q20" s="297">
        <f>VLOOKUP($C20,punten_rijder,15,0)+VLOOKUP($C20,snelste_ronde,15,0)</f>
        <v>10</v>
      </c>
      <c r="R20" s="297">
        <f>VLOOKUP($C20,punten_rijder,16,0)+VLOOKUP($C20,snelste_ronde,16,0)</f>
        <v>0</v>
      </c>
      <c r="S20" s="297">
        <f>VLOOKUP($C20,punten_rijder,17,0)+VLOOKUP($C20,snelste_ronde,17,0)</f>
        <v>0</v>
      </c>
      <c r="T20" s="297">
        <f>VLOOKUP($C20,punten_rijder,18,0)+VLOOKUP($C20,snelste_ronde,18,0)</f>
        <v>0</v>
      </c>
      <c r="U20" s="297">
        <f>VLOOKUP($C20,punten_rijder,19,0)+VLOOKUP($C20,snelste_ronde,19,0)</f>
        <v>0</v>
      </c>
      <c r="V20" s="297">
        <f>VLOOKUP($C20,punten_rijder,20,0)+VLOOKUP($C20,snelste_ronde,20,0)</f>
        <v>0</v>
      </c>
      <c r="W20" s="297">
        <f>VLOOKUP($C20,punten_rijder,21,0)+VLOOKUP($C20,snelste_ronde,21,0)</f>
        <v>0</v>
      </c>
      <c r="X20" s="297">
        <f>VLOOKUP($C20,punten_rijder,22,0)+VLOOKUP($C20,snelste_ronde,22,0)</f>
        <v>0</v>
      </c>
      <c r="Y20" s="297">
        <f>SUM(D20:X20)</f>
        <v>31</v>
      </c>
      <c r="Z20" s="547"/>
      <c r="AA20" s="288">
        <f t="shared" si="0"/>
        <v>13</v>
      </c>
      <c r="AB20" s="298" t="str">
        <f t="shared" si="3"/>
        <v>p</v>
      </c>
      <c r="AD20" s="548">
        <f t="shared" si="1"/>
        <v>2</v>
      </c>
      <c r="AE20" s="548"/>
      <c r="AF20" s="548"/>
      <c r="AH20" s="296" t="s">
        <v>348</v>
      </c>
      <c r="AI20" s="550">
        <v>12</v>
      </c>
      <c r="AK20" s="297">
        <f t="shared" si="4"/>
        <v>0</v>
      </c>
      <c r="AO20" s="545"/>
      <c r="AP20" s="553" t="s">
        <v>529</v>
      </c>
      <c r="AQ20" s="554">
        <f>IF(Blad1!$AC$2="L. Norris",25,0)+IF(Blad1!$AH$2="L. Norris",18,0)+IF(Blad1!$AM$2="L. Norris",15,0)+IF(Blad1!$AR$2="L. Norris",12,0)+IF(Blad1!$AW$2="L. Norris",10,0)+IF(Blad1!$BB$2="L. Norris",8,0)+IF(Blad1!$BG$2="L. Norris",6,0)+IF(Blad1!$BL$2="L. Norris",4,0)+IF(Blad1!$BQ$2="L. Norris",2,0)+IF(Blad1!$BV$2="L. Norris",1,0)</f>
        <v>0</v>
      </c>
      <c r="AR20" s="555">
        <f>IF(Blad1!$AC$3="L. Norris",25,0)+IF(Blad1!$AH$3="L. Norris",18,0)+IF(Blad1!$AM$3="L. Norris",15,0)+IF(Blad1!$AR$3="L. Norris",12,0)+IF(Blad1!$AW$3="L. Norris",10,0)+IF(Blad1!$BB$3="L. Norris",8,0)+IF(Blad1!$BG$3="L. Norris",6,0)+IF(Blad1!$BL$3="L. Norris",4,0)+IF(Blad1!$BQ$3="L. Norris",2,0)+IF(Blad1!$BV$3="L. Norris",1,0)</f>
        <v>8</v>
      </c>
      <c r="AS20" s="555">
        <f>IF(Blad1!$AC$4="L. Norris",25,0)+IF(Blad1!$AH$4="L. Norris",18,0)+IF(Blad1!$AM$4="L. Norris",15,0)+IF(Blad1!$AR$4="L. Norris",12,0)+IF(Blad1!$AW$4="L. Norris",10,0)+IF(Blad1!$BB$4="L. Norris",8,0)+IF(Blad1!$BG$4="L. Norris",6,0)+IF(Blad1!$BL$4="L. Norris",4,0)+IF(Blad1!$BQ$4="L. Norris",2,0)+IF(Blad1!$BV$4="L. Norris",1,0)</f>
        <v>0</v>
      </c>
      <c r="AT20" s="555">
        <f>IF(Blad1!$AC$5="L. Norris",25,0)+IF(Blad1!$AH$5="L. Norris",18,0)+IF(Blad1!$AM$5="L. Norris",15,0)+IF(Blad1!$AR$5="L. Norris",12,0)+IF(Blad1!$AW$5="L. Norris",10,0)+IF(Blad1!$BB$5="L. Norris",8,0)+IF(Blad1!$BG$5="L. Norris",6,0)+IF(Blad1!$BL$5="L. Norris",4,0)+IF(Blad1!$BQ$5="L. Norris",2,0)+IF(Blad1!$BV$5="L. Norris",1,0)</f>
        <v>4</v>
      </c>
      <c r="AU20" s="555">
        <f>IF(Blad1!$AC$6="L. Norris",25,0)+IF(Blad1!$AH$6="L. Norris",18,0)+IF(Blad1!$AM$6="L. Norris",15,0)+IF(Blad1!$AR$6="L. Norris",12,0)+IF(Blad1!$AW$6="L. Norris",10,0)+IF(Blad1!$BB$6="L. Norris",8,0)+IF(Blad1!$BG$6="L. Norris",6,0)+IF(Blad1!$BL$6="L. Norris",4,0)+IF(Blad1!$BQ$6="L. Norris",2,0)+IF(Blad1!$BV$6="L. Norris",1,0)</f>
        <v>0</v>
      </c>
      <c r="AV20" s="555">
        <f>IF(Blad1!$AC$7="L. Norris",25,0)+IF(Blad1!$AH$7="L. Norris",18,0)+IF(Blad1!$AM$7="L. Norris",15,0)+IF(Blad1!$AR$7="L. Norris",12,0)+IF(Blad1!$AW$7="L. Norris",10,0)+IF(Blad1!$BB$7="L. Norris",8,0)+IF(Blad1!$BG$7="L. Norris",6,0)+IF(Blad1!$BL$7="L. Norris",4,0)+IF(Blad1!$BQ$7="L. Norris",2,0)+IF(Blad1!$BV$7="L. Norris",1,0)</f>
        <v>0</v>
      </c>
      <c r="AW20" s="555">
        <f>IF(Blad1!$AC$8="L. Norris",25,0)+IF(Blad1!$AH$8="L. Norris",18,0)+IF(Blad1!$AM$8="L. Norris",15,0)+IF(Blad1!$AR$8="L. Norris",12,0)+IF(Blad1!$AW$8="L. Norris",10,0)+IF(Blad1!$BB$8="L. Norris",8,0)+IF(Blad1!$BG$8="L. Norris",6,0)+IF(Blad1!$BL$8="L. Norris",4,0)+IF(Blad1!$BQ$8="L. Norris",2,0)+IF(Blad1!$BV$8="L. Norris",1,0)</f>
        <v>0</v>
      </c>
      <c r="AX20" s="555">
        <f>IF(Blad1!$AC$9="L. Norris",25,0)+IF(Blad1!$AH$9="L. Norris",18,0)+IF(Blad1!$AM$9="L. Norris",15,0)+IF(Blad1!$AR$9="L. Norris",12,0)+IF(Blad1!$AW$9="L. Norris",10,0)+IF(Blad1!$BB$9="L. Norris",8,0)+IF(Blad1!$BG$9="L. Norris",6,0)+IF(Blad1!$BL$9="L. Norris",4,0)+IF(Blad1!$BQ$9="L. Norris",2,0)+IF(Blad1!$BV$9="L. Norris",1,0)</f>
        <v>2</v>
      </c>
      <c r="AY20" s="555">
        <f>IF(Blad1!$AC$10="L. Norris",25,0)+IF(Blad1!$AH$10="L. Norris",18,0)+IF(Blad1!$AM$10="L. Norris",15,0)+IF(Blad1!$AR$10="L. Norris",12,0)+IF(Blad1!$AW$10="L. Norris",10,0)+IF(Blad1!$BB$10="L. Norris",8,0)+IF(Blad1!$BG$10="L. Norris",6,0)+IF(Blad1!$BL$10="L. Norris",4,0)+IF(Blad1!$BQ$10="L. Norris",2,0)+IF(Blad1!$BV$10="L. Norris",1,0)</f>
        <v>8</v>
      </c>
      <c r="AZ20" s="555">
        <f>IF(Blad1!$AC$11="L. Norris",25,0)+IF(Blad1!$AH$11="L. Norris",18,0)+IF(Blad1!$AM$11="L. Norris",15,0)+IF(Blad1!$AR$11="L. Norris",12,0)+IF(Blad1!$AW$11="L. Norris",10,0)+IF(Blad1!$BB$11="L. Norris",8,0)+IF(Blad1!$BG$11="L. Norris",6,0)+IF(Blad1!$BL$11="L. Norris",4,0)+IF(Blad1!$BQ$11="L. Norris",2,0)+IF(Blad1!$BV$11="L. Norris",1,0)</f>
        <v>0</v>
      </c>
      <c r="BA20" s="555">
        <f>IF(Blad1!$AC$12="L. Norris",25,0)+IF(Blad1!$AH$12="L. Norris",18,0)+IF(Blad1!$AM$12="L. Norris",15,0)+IF(Blad1!$AR$12="L. Norris",12,0)+IF(Blad1!$AW$12="L. Norris",10,0)+IF(Blad1!$BB$12="L. Norris",8,0)+IF(Blad1!$BG$12="L. Norris",6,0)+IF(Blad1!$BL$12="L. Norris",4,0)+IF(Blad1!$BQ$12="L. Norris",2,0)+IF(Blad1!$BV$12="L. Norris",1,0)</f>
        <v>0</v>
      </c>
      <c r="BB20" s="555">
        <f>IF(Blad1!$AC$13="L. Norris",25,0)+IF(Blad1!$AH$13="L. Norris",18,0)+IF(Blad1!$AM$13="L. Norris",15,0)+IF(Blad1!$AR$13="L. Norris",12,0)+IF(Blad1!$AW$13="L. Norris",10,0)+IF(Blad1!$BB$13="L. Norris",8,0)+IF(Blad1!$BG$13="L. Norris",6,0)+IF(Blad1!$BL$13="L. Norris",4,0)+IF(Blad1!$BQ$13="L. Norris",2,0)+IF(Blad1!$BV$13="L. Norris",1,0)</f>
        <v>2</v>
      </c>
      <c r="BC20" s="555">
        <f>IF(Blad1!$AC$14="L. Norris",25,0)+IF(Blad1!$AH$14="L. Norris",18,0)+IF(Blad1!$AM$14="L. Norris",15,0)+IF(Blad1!$AR$14="L. Norris",12,0)+IF(Blad1!$AW$14="L. Norris",10,0)+IF(Blad1!$BB$14="L. Norris",8,0)+IF(Blad1!$BG$14="L. Norris",6,0)+IF(Blad1!$BL$14="L. Norris",4,0)+IF(Blad1!$BQ$14="L. Norris",2,0)+IF(Blad1!$BV$14="L. Norris",1,0)</f>
        <v>0</v>
      </c>
      <c r="BD20" s="555">
        <f>IF(Blad1!$AC$15="L. Norris",25,0)+IF(Blad1!$AH$15="L. Norris",18,0)+IF(Blad1!$AM$15="L. Norris",15,0)+IF(Blad1!$AR$15="L. Norris",12,0)+IF(Blad1!$AW$15="L. Norris",10,0)+IF(Blad1!$BB$15="L. Norris",8,0)+IF(Blad1!$BG$15="L. Norris",6,0)+IF(Blad1!$BL$15="L. Norris",4,0)+IF(Blad1!$BQ$15="L. Norris",2,0)+IF(Blad1!$BV$15="L. Norris",1,0)</f>
        <v>1</v>
      </c>
      <c r="BE20" s="555">
        <f>IF(Blad1!$AC$16="L. Norris",25,0)+IF(Blad1!$AH$16="L. Norris",18,0)+IF(Blad1!$AM$16="L. Norris",15,0)+IF(Blad1!$AR$16="L. Norris",12,0)+IF(Blad1!$AW$16="L. Norris",10,0)+IF(Blad1!$BB$16="L. Norris",8,0)+IF(Blad1!$BG$16="L. Norris",6,0)+IF(Blad1!$BL$16="L. Norris",4,0)+IF(Blad1!$BQ$16="L. Norris",2,0)+IF(Blad1!$BV$16="L. Norris",1,0)</f>
        <v>0</v>
      </c>
      <c r="BF20" s="555">
        <f>IF(Blad1!$AC$17="L. Norris",25,0)+IF(Blad1!$AH$17="L. Norris",18,0)+IF(Blad1!$AM$17="L. Norris",15,0)+IF(Blad1!$AR$17="L. Norris",12,0)+IF(Blad1!$AW$17="L. Norris",10,0)+IF(Blad1!$BB$17="L. Norris",8,0)+IF(Blad1!$BG$17="L. Norris",6,0)+IF(Blad1!$BL$17="L. Norris",4,0)+IF(Blad1!$BQ$17="L. Norris",2,0)+IF(Blad1!$BV$17="L. Norris",1,0)</f>
        <v>0</v>
      </c>
      <c r="BG20" s="555">
        <f>IF(Blad1!$AC$18="L. Norris",25,0)+IF(Blad1!$AH$18="L. Norris",18,0)+IF(Blad1!$AM$18="L. Norris",15,0)+IF(Blad1!$AR$18="L. Norris",12,0)+IF(Blad1!$AW$18="L. Norris",10,0)+IF(Blad1!$BB$18="L. Norris",8,0)+IF(Blad1!$BG$18="L. Norris",6,0)+IF(Blad1!$BL$18="L. Norris",4,0)+IF(Blad1!$BQ$18="L. Norris",2,0)+IF(Blad1!$BV$18="L. Norris",1,0)</f>
        <v>0</v>
      </c>
      <c r="BH20" s="555">
        <f>IF(Blad1!$AC$19="L. Norris",25,0)+IF(Blad1!$AH$19="L. Norris",18,0)+IF(Blad1!$AM$19="L. Norris",15,0)+IF(Blad1!$AR$19="L. Norris",12,0)+IF(Blad1!$AW$19="L. Norris",10,0)+IF(Blad1!$BB$19="L. Norris",8,0)+IF(Blad1!$BG$19="L. Norris",6,0)+IF(Blad1!$BL$19="L. Norris",4,0)+IF(Blad1!$BQ$19="L. Norris",2,0)+IF(Blad1!$BV$19="L. Norris",1,0)</f>
        <v>0</v>
      </c>
      <c r="BI20" s="555">
        <f>IF(Blad1!$AC$20="L. Norris",25,0)+IF(Blad1!$AH$20="L. Norris",18,0)+IF(Blad1!$AM$20="L. Norris",15,0)+IF(Blad1!$AR$20="L. Norris",12,0)+IF(Blad1!$AW$20="L. Norris",10,0)+IF(Blad1!$BB$20="L. Norris",8,0)+IF(Blad1!$BG$20="L. Norris",6,0)+IF(Blad1!$BL$20="L. Norris",4,0)+IF(Blad1!$BQ$20="L. Norris",2,0)+IF(Blad1!$BV$20="L. Norris",1,0)</f>
        <v>0</v>
      </c>
      <c r="BJ20" s="556">
        <f>IF(Blad1!$AC$21="L. Norris",25,0)+IF(Blad1!$AH$21="L. Norris",18,0)+IF(Blad1!$AM$21="L. Norris",15,0)+IF(Blad1!$AR$21="L. Norris",12,0)+IF(Blad1!$AW$21="L. Norris",10,0)+IF(Blad1!$BB$21="L. Norris",8,0)+IF(Blad1!$BG$21="L. Norris",6,0)+IF(Blad1!$BL$21="L. Norris",4,0)+IF(Blad1!$BQ$21="L. Norris",2,0)+IF(Blad1!$BV$21="L. Norris",1,0)</f>
        <v>0</v>
      </c>
      <c r="BK20" s="556">
        <f>IF(Blad1!$AC$22="L. Norris",25,0)+IF(Blad1!$AH$22="L. Norris",18,0)+IF(Blad1!$AM$22="L. Norris",15,0)+IF(Blad1!$AR$22="L. Norris",12,0)+IF(Blad1!$AW$22="L. Norris",10,0)+IF(Blad1!$BB$22="L. Norris",8,0)+IF(Blad1!$BG$22="L. Norris",6,0)+IF(Blad1!$BL$22="L. Norris",4,0)+IF(Blad1!$BQ$22="L. Norris",2,0)+IF(Blad1!$BV$22="L. Norris",1,0)</f>
        <v>0</v>
      </c>
      <c r="BL20" s="557">
        <f t="shared" si="5"/>
        <v>25</v>
      </c>
      <c r="BN20" s="762"/>
      <c r="BO20" s="759"/>
      <c r="BP20" s="750"/>
      <c r="BQ20" s="750"/>
      <c r="BR20" s="750"/>
      <c r="BS20" s="750"/>
      <c r="BT20" s="750"/>
      <c r="BU20" s="750"/>
      <c r="BV20" s="750"/>
      <c r="BW20" s="750"/>
      <c r="BX20" s="750"/>
      <c r="BY20" s="750"/>
      <c r="BZ20" s="750"/>
      <c r="CA20" s="750"/>
      <c r="CB20" s="750"/>
      <c r="CC20" s="750"/>
      <c r="CD20" s="750"/>
      <c r="CE20" s="750"/>
      <c r="CF20" s="750"/>
      <c r="CG20" s="750"/>
      <c r="CH20" s="750"/>
      <c r="CI20" s="755"/>
      <c r="CJ20" s="753"/>
      <c r="CL20" s="569" t="s">
        <v>529</v>
      </c>
      <c r="CM20" s="611">
        <f>IF(Blad1!Z$2=$CL20,1)*Blad1!EJ$2</f>
        <v>0</v>
      </c>
      <c r="CN20" s="609">
        <f>IF(Blad1!Z$3=$CL20,1)*Blad1!EJ$3</f>
        <v>0</v>
      </c>
      <c r="CO20" s="609">
        <f>IF(Blad1!Z$4=$CL20,1)*Blad1!EJ$4</f>
        <v>0</v>
      </c>
      <c r="CP20" s="609">
        <f>IF(Blad1!Z$5=$CL20,1)*Blad1!EJ$5</f>
        <v>0</v>
      </c>
      <c r="CQ20" s="609">
        <f>IF(Blad1!Z$6=$CL20,1)*Blad1!EJ$6</f>
        <v>0</v>
      </c>
      <c r="CR20" s="609">
        <f>IF(Blad1!Z$7=$CL20,1)*Blad1!EJ$7</f>
        <v>0</v>
      </c>
      <c r="CS20" s="609">
        <f>IF(Blad1!Z$8=$CL20,1)*Blad1!EJ$8</f>
        <v>0</v>
      </c>
      <c r="CT20" s="609">
        <f>IF(Blad1!Z$9=$CL20,1)*Blad1!EJ$9</f>
        <v>0</v>
      </c>
      <c r="CU20" s="609">
        <f>IF(Blad1!Z$10=$CL20,1)*Blad1!EJ$10</f>
        <v>0</v>
      </c>
      <c r="CV20" s="609">
        <f>IF(Blad1!Z$11=$CL20,1)*Blad1!EJ$11</f>
        <v>0</v>
      </c>
      <c r="CW20" s="609">
        <f>IF(Blad1!Z$12=$CL20,1)*Blad1!EJ$12</f>
        <v>0</v>
      </c>
      <c r="CX20" s="609">
        <f>IF(Blad1!Z$13=$CL20,1)*Blad1!EJ$13</f>
        <v>0</v>
      </c>
      <c r="CY20" s="609">
        <f>IF(Blad1!Z$14=$CL20,1)*Blad1!EJ$14</f>
        <v>0</v>
      </c>
      <c r="CZ20" s="609">
        <f>IF(Blad1!Z$15=$CL20,1)*Blad1!EJ$15</f>
        <v>0</v>
      </c>
      <c r="DA20" s="609">
        <f>IF(Blad1!Z$16=$CL20,1)*Blad1!EJ$16</f>
        <v>0</v>
      </c>
      <c r="DB20" s="609">
        <f>IF(Blad1!Z$17=$CL20,1)*Blad1!EJ$17</f>
        <v>0</v>
      </c>
      <c r="DC20" s="609">
        <f>IF(Blad1!Z$18=$CL20,1)*Blad1!EJ$18</f>
        <v>0</v>
      </c>
      <c r="DD20" s="609">
        <f>IF(Blad1!Z$19=$CL20,1)*Blad1!EJ$19</f>
        <v>0</v>
      </c>
      <c r="DE20" s="609">
        <f>IF(Blad1!Z$20=$CL20,1)*Blad1!EJ$20</f>
        <v>0</v>
      </c>
      <c r="DF20" s="609">
        <f>IF(Blad1!Z$21=$CL20,1)*Blad1!EJ$21</f>
        <v>0</v>
      </c>
      <c r="DG20" s="649">
        <f>IF(Blad1!Z$22=$CL20,1)*Blad1!EJ$22</f>
        <v>0</v>
      </c>
      <c r="DH20" s="652">
        <f t="shared" si="6"/>
        <v>0</v>
      </c>
    </row>
    <row r="21" spans="2:112" ht="15" customHeight="1" x14ac:dyDescent="0.2">
      <c r="B21" s="293">
        <v>13</v>
      </c>
      <c r="C21" s="296" t="s">
        <v>347</v>
      </c>
      <c r="D21" s="297">
        <f>VLOOKUP($C21,punten_rijder,2,0)+VLOOKUP($C21,snelste_ronde,2,0)</f>
        <v>0</v>
      </c>
      <c r="E21" s="297">
        <f>VLOOKUP($C21,punten_rijder,3,0)+VLOOKUP($C21,snelste_ronde,3,0)</f>
        <v>1</v>
      </c>
      <c r="F21" s="297">
        <f>VLOOKUP($C21,punten_rijder,4,0)+VLOOKUP($C21,snelste_ronde,4,0)</f>
        <v>4</v>
      </c>
      <c r="G21" s="297">
        <f>VLOOKUP($C21,punten_rijder,5,0)+VLOOKUP($C21,snelste_ronde,5,0)</f>
        <v>8</v>
      </c>
      <c r="H21" s="297">
        <f>VLOOKUP($C21,punten_rijder,6,0)+VLOOKUP($C21,snelste_ronde,6,0)</f>
        <v>0</v>
      </c>
      <c r="I21" s="297">
        <f>VLOOKUP($C21,punten_rijder,7,0)+VLOOKUP($C21,snelste_ronde,7,0)</f>
        <v>0</v>
      </c>
      <c r="J21" s="297">
        <f>VLOOKUP($C21,punten_rijder,8,0)+VLOOKUP($C21,snelste_ronde,8,0)</f>
        <v>0</v>
      </c>
      <c r="K21" s="297">
        <f>VLOOKUP($C21,punten_rijder,9,0)+VLOOKUP($C21,snelste_ronde,9,0)</f>
        <v>0</v>
      </c>
      <c r="L21" s="297">
        <f>VLOOKUP($C21,punten_rijder,10,0)+VLOOKUP($C21,snelste_ronde,10,0)</f>
        <v>0</v>
      </c>
      <c r="M21" s="297">
        <f>VLOOKUP($C21,punten_rijder,11,0)+VLOOKUP($C21,snelste_ronde,11,0)</f>
        <v>0</v>
      </c>
      <c r="N21" s="297">
        <f>VLOOKUP($C21,punten_rijder,12,0)+VLOOKUP($C21,snelste_ronde,12,0)</f>
        <v>0</v>
      </c>
      <c r="O21" s="297">
        <f>VLOOKUP($C21,punten_rijder,13,0)+VLOOKUP($C21,snelste_ronde,13,0)</f>
        <v>0</v>
      </c>
      <c r="P21" s="297">
        <f>VLOOKUP($C21,punten_rijder,14,0)+VLOOKUP($C21,snelste_ronde,14,0)</f>
        <v>8</v>
      </c>
      <c r="Q21" s="297">
        <f>VLOOKUP($C21,punten_rijder,15,0)+VLOOKUP($C21,snelste_ronde,15,0)</f>
        <v>6</v>
      </c>
      <c r="R21" s="297">
        <f>VLOOKUP($C21,punten_rijder,16,0)+VLOOKUP($C21,snelste_ronde,16,0)</f>
        <v>0</v>
      </c>
      <c r="S21" s="297">
        <f>VLOOKUP($C21,punten_rijder,17,0)+VLOOKUP($C21,snelste_ronde,17,0)</f>
        <v>0</v>
      </c>
      <c r="T21" s="297">
        <f>VLOOKUP($C21,punten_rijder,18,0)+VLOOKUP($C21,snelste_ronde,18,0)</f>
        <v>0</v>
      </c>
      <c r="U21" s="297">
        <f>VLOOKUP($C21,punten_rijder,19,0)+VLOOKUP($C21,snelste_ronde,19,0)</f>
        <v>0</v>
      </c>
      <c r="V21" s="297">
        <f>VLOOKUP($C21,punten_rijder,20,0)+VLOOKUP($C21,snelste_ronde,20,0)</f>
        <v>0</v>
      </c>
      <c r="W21" s="297">
        <f>VLOOKUP($C21,punten_rijder,21,0)+VLOOKUP($C21,snelste_ronde,21,0)</f>
        <v>0</v>
      </c>
      <c r="X21" s="297">
        <f>VLOOKUP($C21,punten_rijder,22,0)+VLOOKUP($C21,snelste_ronde,22,0)</f>
        <v>0</v>
      </c>
      <c r="Y21" s="297">
        <f>SUM(D21:X21)</f>
        <v>27</v>
      </c>
      <c r="Z21" s="547"/>
      <c r="AA21" s="288">
        <f t="shared" si="0"/>
        <v>14</v>
      </c>
      <c r="AB21" s="298" t="str">
        <f t="shared" si="3"/>
        <v>p</v>
      </c>
      <c r="AD21" s="548">
        <f t="shared" si="1"/>
        <v>2</v>
      </c>
      <c r="AE21" s="548"/>
      <c r="AF21" s="548"/>
      <c r="AH21" s="296" t="s">
        <v>329</v>
      </c>
      <c r="AI21" s="550">
        <v>13</v>
      </c>
      <c r="AK21" s="297">
        <f t="shared" si="4"/>
        <v>4</v>
      </c>
      <c r="AO21" s="545"/>
      <c r="AP21" s="553" t="s">
        <v>347</v>
      </c>
      <c r="AQ21" s="554">
        <f>IF(Blad1!$AC$2="S. Pérez",25,0)+IF(Blad1!$AH$2="S. Pérez",18,0)+IF(Blad1!$AM$2="S. Pérez",15,0)+IF(Blad1!$AR$2="S. Pérez",12,0)+IF(Blad1!$AW$2="S. Pérez",10,0)+IF(Blad1!$BB$2="S. Pérez",8,0)+IF(Blad1!$BG$2="S. Pérez",6,0)+IF(Blad1!$BL$2="S. Pérez",4,0)+IF(Blad1!$BQ$2="S. Pérez",2,0)+IF(Blad1!$BV$2="S. Pérez",1,0)</f>
        <v>0</v>
      </c>
      <c r="AR21" s="555">
        <f>IF(Blad1!$AC$3="S. Pérez",25,0)+IF(Blad1!$AH$3="S. Pérez",18,0)+IF(Blad1!$AM$3="S. Pérez",15,0)+IF(Blad1!$AR$3="S. Pérez",12,0)+IF(Blad1!$AW$3="S. Pérez",10,0)+IF(Blad1!$BB$3="S. Pérez",8,0)+IF(Blad1!$BG$3="S. Pérez",6,0)+IF(Blad1!$BL$3="S. Pérez",4,0)+IF(Blad1!$BQ$3="S. Pérez",2,0)+IF(Blad1!$BV$3="S. Pérez",1,0)</f>
        <v>1</v>
      </c>
      <c r="AS21" s="555">
        <f>IF(Blad1!$AC$4="S. Pérez",25,0)+IF(Blad1!$AH$4="S. Pérez",18,0)+IF(Blad1!$AM$4="S. Pérez",15,0)+IF(Blad1!$AR$4="S. Pérez",12,0)+IF(Blad1!$AW$4="S. Pérez",10,0)+IF(Blad1!$BB$4="S. Pérez",8,0)+IF(Blad1!$BG$4="S. Pérez",6,0)+IF(Blad1!$BL$4="S. Pérez",4,0)+IF(Blad1!$BQ$4="S. Pérez",2,0)+IF(Blad1!$BV$4="S. Pérez",1,0)</f>
        <v>4</v>
      </c>
      <c r="AT21" s="555">
        <f>IF(Blad1!$AC$5="S. Pérez",25,0)+IF(Blad1!$AH$5="S. Pérez",18,0)+IF(Blad1!$AM$5="S. Pérez",15,0)+IF(Blad1!$AR$5="S. Pérez",12,0)+IF(Blad1!$AW$5="S. Pérez",10,0)+IF(Blad1!$BB$5="S. Pérez",8,0)+IF(Blad1!$BG$5="S. Pérez",6,0)+IF(Blad1!$BL$5="S. Pérez",4,0)+IF(Blad1!$BQ$5="S. Pérez",2,0)+IF(Blad1!$BV$5="S. Pérez",1,0)</f>
        <v>8</v>
      </c>
      <c r="AU21" s="555">
        <f>IF(Blad1!$AC$6="S. Pérez",25,0)+IF(Blad1!$AH$6="S. Pérez",18,0)+IF(Blad1!$AM$6="S. Pérez",15,0)+IF(Blad1!$AR$6="S. Pérez",12,0)+IF(Blad1!$AW$6="S. Pérez",10,0)+IF(Blad1!$BB$6="S. Pérez",8,0)+IF(Blad1!$BG$6="S. Pérez",6,0)+IF(Blad1!$BL$6="S. Pérez",4,0)+IF(Blad1!$BQ$6="S. Pérez",2,0)+IF(Blad1!$BV$6="S. Pérez",1,0)</f>
        <v>0</v>
      </c>
      <c r="AV21" s="555">
        <f>IF(Blad1!$AC$7="S. Pérez",25,0)+IF(Blad1!$AH$7="S. Pérez",18,0)+IF(Blad1!$AM$7="S. Pérez",15,0)+IF(Blad1!$AR$7="S. Pérez",12,0)+IF(Blad1!$AW$7="S. Pérez",10,0)+IF(Blad1!$BB$7="S. Pérez",8,0)+IF(Blad1!$BG$7="S. Pérez",6,0)+IF(Blad1!$BL$7="S. Pérez",4,0)+IF(Blad1!$BQ$7="S. Pérez",2,0)+IF(Blad1!$BV$7="S. Pérez",1,0)</f>
        <v>0</v>
      </c>
      <c r="AW21" s="555">
        <f>IF(Blad1!$AC$8="S. Pérez",25,0)+IF(Blad1!$AH$8="S. Pérez",18,0)+IF(Blad1!$AM$8="S. Pérez",15,0)+IF(Blad1!$AR$8="S. Pérez",12,0)+IF(Blad1!$AW$8="S. Pérez",10,0)+IF(Blad1!$BB$8="S. Pérez",8,0)+IF(Blad1!$BG$8="S. Pérez",6,0)+IF(Blad1!$BL$8="S. Pérez",4,0)+IF(Blad1!$BQ$8="S. Pérez",2,0)+IF(Blad1!$BV$8="S. Pérez",1,0)</f>
        <v>0</v>
      </c>
      <c r="AX21" s="555">
        <f>IF(Blad1!$AC$9="S. Pérez",25,0)+IF(Blad1!$AH$9="S. Pérez",18,0)+IF(Blad1!$AM$9="S. Pérez",15,0)+IF(Blad1!$AR$9="S. Pérez",12,0)+IF(Blad1!$AW$9="S. Pérez",10,0)+IF(Blad1!$BB$9="S. Pérez",8,0)+IF(Blad1!$BG$9="S. Pérez",6,0)+IF(Blad1!$BL$9="S. Pérez",4,0)+IF(Blad1!$BQ$9="S. Pérez",2,0)+IF(Blad1!$BV$9="S. Pérez",1,0)</f>
        <v>0</v>
      </c>
      <c r="AY21" s="555">
        <f>IF(Blad1!$AC$10="S. Pérez",25,0)+IF(Blad1!$AH$10="S. Pérez",18,0)+IF(Blad1!$AM$10="S. Pérez",15,0)+IF(Blad1!$AR$10="S. Pérez",12,0)+IF(Blad1!$AW$10="S. Pérez",10,0)+IF(Blad1!$BB$10="S. Pérez",8,0)+IF(Blad1!$BG$10="S. Pérez",6,0)+IF(Blad1!$BL$10="S. Pérez",4,0)+IF(Blad1!$BQ$10="S. Pérez",2,0)+IF(Blad1!$BV$10="S. Pérez",1,0)</f>
        <v>0</v>
      </c>
      <c r="AZ21" s="555">
        <f>IF(Blad1!$AC$11="S. Pérez",25,0)+IF(Blad1!$AH$11="S. Pérez",18,0)+IF(Blad1!$AM$11="S. Pérez",15,0)+IF(Blad1!$AR$11="S. Pérez",12,0)+IF(Blad1!$AW$11="S. Pérez",10,0)+IF(Blad1!$BB$11="S. Pérez",8,0)+IF(Blad1!$BG$11="S. Pérez",6,0)+IF(Blad1!$BL$11="S. Pérez",4,0)+IF(Blad1!$BQ$11="S. Pérez",2,0)+IF(Blad1!$BV$11="S. Pérez",1,0)</f>
        <v>0</v>
      </c>
      <c r="BA21" s="555">
        <f>IF(Blad1!$AC$12="S. Pérez",25,0)+IF(Blad1!$AH$12="S. Pérez",18,0)+IF(Blad1!$AM$12="S. Pérez",15,0)+IF(Blad1!$AR$12="S. Pérez",12,0)+IF(Blad1!$AW$12="S. Pérez",10,0)+IF(Blad1!$BB$12="S. Pérez",8,0)+IF(Blad1!$BG$12="S. Pérez",6,0)+IF(Blad1!$BL$12="S. Pérez",4,0)+IF(Blad1!$BQ$12="S. Pérez",2,0)+IF(Blad1!$BV$12="S. Pérez",1,0)</f>
        <v>0</v>
      </c>
      <c r="BB21" s="555">
        <f>IF(Blad1!$AC$13="S. Pérez",25,0)+IF(Blad1!$AH$13="S. Pérez",18,0)+IF(Blad1!$AM$13="S. Pérez",15,0)+IF(Blad1!$AR$13="S. Pérez",12,0)+IF(Blad1!$AW$13="S. Pérez",10,0)+IF(Blad1!$BB$13="S. Pérez",8,0)+IF(Blad1!$BG$13="S. Pérez",6,0)+IF(Blad1!$BL$13="S. Pérez",4,0)+IF(Blad1!$BQ$13="S. Pérez",2,0)+IF(Blad1!$BV$13="S. Pérez",1,0)</f>
        <v>0</v>
      </c>
      <c r="BC21" s="555">
        <f>IF(Blad1!$AC$14="S. Pérez",25,0)+IF(Blad1!$AH$14="S. Pérez",18,0)+IF(Blad1!$AM$14="S. Pérez",15,0)+IF(Blad1!$AR$14="S. Pérez",12,0)+IF(Blad1!$AW$14="S. Pérez",10,0)+IF(Blad1!$BB$14="S. Pérez",8,0)+IF(Blad1!$BG$14="S. Pérez",6,0)+IF(Blad1!$BL$14="S. Pérez",4,0)+IF(Blad1!$BQ$14="S. Pérez",2,0)+IF(Blad1!$BV$14="S. Pérez",1,0)</f>
        <v>8</v>
      </c>
      <c r="BD21" s="555">
        <f>IF(Blad1!$AC$15="S. Pérez",25,0)+IF(Blad1!$AH$15="S. Pérez",18,0)+IF(Blad1!$AM$15="S. Pérez",15,0)+IF(Blad1!$AR$15="S. Pérez",12,0)+IF(Blad1!$AW$15="S. Pérez",10,0)+IF(Blad1!$BB$15="S. Pérez",8,0)+IF(Blad1!$BG$15="S. Pérez",6,0)+IF(Blad1!$BL$15="S. Pérez",4,0)+IF(Blad1!$BQ$15="S. Pérez",2,0)+IF(Blad1!$BV$15="S. Pérez",1,0)</f>
        <v>6</v>
      </c>
      <c r="BE21" s="555">
        <f>IF(Blad1!$AC$16="S. Pérez",25,0)+IF(Blad1!$AH$16="S. Pérez",18,0)+IF(Blad1!$AM$16="S. Pérez",15,0)+IF(Blad1!$AR$16="S. Pérez",12,0)+IF(Blad1!$AW$16="S. Pérez",10,0)+IF(Blad1!$BB$16="S. Pérez",8,0)+IF(Blad1!$BG$16="S. Pérez",6,0)+IF(Blad1!$BL$16="S. Pérez",4,0)+IF(Blad1!$BQ$16="S. Pérez",2,0)+IF(Blad1!$BV$16="S. Pérez",1,0)</f>
        <v>0</v>
      </c>
      <c r="BF21" s="555">
        <f>IF(Blad1!$AC$17="S. Pérez",25,0)+IF(Blad1!$AH$17="S. Pérez",18,0)+IF(Blad1!$AM$17="S. Pérez",15,0)+IF(Blad1!$AR$17="S. Pérez",12,0)+IF(Blad1!$AW$17="S. Pérez",10,0)+IF(Blad1!$BB$17="S. Pérez",8,0)+IF(Blad1!$BG$17="S. Pérez",6,0)+IF(Blad1!$BL$17="S. Pérez",4,0)+IF(Blad1!$BQ$17="S. Pérez",2,0)+IF(Blad1!$BV$17="S. Pérez",1,0)</f>
        <v>0</v>
      </c>
      <c r="BG21" s="555">
        <f>IF(Blad1!$AC$18="S. Pérez",25,0)+IF(Blad1!$AH$18="S. Pérez",18,0)+IF(Blad1!$AM$18="S. Pérez",15,0)+IF(Blad1!$AR$18="S. Pérez",12,0)+IF(Blad1!$AW$18="S. Pérez",10,0)+IF(Blad1!$BB$18="S. Pérez",8,0)+IF(Blad1!$BG$18="S. Pérez",6,0)+IF(Blad1!$BL$18="S. Pérez",4,0)+IF(Blad1!$BQ$18="S. Pérez",2,0)+IF(Blad1!$BV$18="S. Pérez",1,0)</f>
        <v>0</v>
      </c>
      <c r="BH21" s="555">
        <f>IF(Blad1!$AC$19="S. Pérez",25,0)+IF(Blad1!$AH$19="S. Pérez",18,0)+IF(Blad1!$AM$19="S. Pérez",15,0)+IF(Blad1!$AR$19="S. Pérez",12,0)+IF(Blad1!$AW$19="S. Pérez",10,0)+IF(Blad1!$BB$19="S. Pérez",8,0)+IF(Blad1!$BG$19="S. Pérez",6,0)+IF(Blad1!$BL$19="S. Pérez",4,0)+IF(Blad1!$BQ$19="S. Pérez",2,0)+IF(Blad1!$BV$19="S. Pérez",1,0)</f>
        <v>0</v>
      </c>
      <c r="BI21" s="555">
        <f>IF(Blad1!$AC$20="S. Pérez",25,0)+IF(Blad1!$AH$20="S. Pérez",18,0)+IF(Blad1!$AM$20="S. Pérez",15,0)+IF(Blad1!$AR$20="S. Pérez",12,0)+IF(Blad1!$AW$20="S. Pérez",10,0)+IF(Blad1!$BB$20="S. Pérez",8,0)+IF(Blad1!$BG$20="S. Pérez",6,0)+IF(Blad1!$BL$20="S. Pérez",4,0)+IF(Blad1!$BQ$20="S. Pérez",2,0)+IF(Blad1!$BV$20="S. Pérez",1,0)</f>
        <v>0</v>
      </c>
      <c r="BJ21" s="556">
        <f>IF(Blad1!$AC$21="S. Pérez",25,0)+IF(Blad1!$AH$21="S. Pérez",18,0)+IF(Blad1!$AM$21="S. Pérez",15,0)+IF(Blad1!$AR$21="S. Pérez",12,0)+IF(Blad1!$AW$21="S. Pérez",10,0)+IF(Blad1!$BB$21="S. Pérez",8,0)+IF(Blad1!$BG$21="S. Pérez",6,0)+IF(Blad1!$BL$21="S. Pérez",4,0)+IF(Blad1!$BQ$21="S. Pérez",2,0)+IF(Blad1!$BV$21="S. Pérez",1,0)</f>
        <v>0</v>
      </c>
      <c r="BK21" s="556">
        <f>IF(Blad1!$AC$22="S. Pérez",25,0)+IF(Blad1!$AH$22="S. Pérez",18,0)+IF(Blad1!$AM$22="S. Pérez",15,0)+IF(Blad1!$AR$22="S. Pérez",12,0)+IF(Blad1!$AW$22="S. Pérez",10,0)+IF(Blad1!$BB$22="S. Pérez",8,0)+IF(Blad1!$BG$22="S. Pérez",6,0)+IF(Blad1!$BL$22="S. Pérez",4,0)+IF(Blad1!$BQ$22="S. Pérez",2,0)+IF(Blad1!$BV$22="S. Pérez",1,0)</f>
        <v>0</v>
      </c>
      <c r="BL21" s="557">
        <f t="shared" si="5"/>
        <v>27</v>
      </c>
      <c r="BN21" s="762" t="s">
        <v>544</v>
      </c>
      <c r="BO21" s="759">
        <f t="shared" ref="BO21" si="108">AQ21+AQ22+CM21+CM22</f>
        <v>2</v>
      </c>
      <c r="BP21" s="750">
        <f t="shared" ref="BP21" si="109">AR21+AR22+CN21+CN22</f>
        <v>1</v>
      </c>
      <c r="BQ21" s="750">
        <f t="shared" ref="BQ21" si="110">AS21+AS22+CO21+CO22</f>
        <v>4</v>
      </c>
      <c r="BR21" s="750">
        <f t="shared" ref="BR21" si="111">AT21+AT22+CP21+CP22</f>
        <v>10</v>
      </c>
      <c r="BS21" s="750">
        <f t="shared" ref="BS21" si="112">AU21+AU22+CQ21+CQ22</f>
        <v>0</v>
      </c>
      <c r="BT21" s="750">
        <f t="shared" ref="BT21" si="113">AV21+AV22+CR21+CR22</f>
        <v>0</v>
      </c>
      <c r="BU21" s="750">
        <f t="shared" ref="BU21" si="114">AW21+AW22+CS21+CS22</f>
        <v>2</v>
      </c>
      <c r="BV21" s="750">
        <f t="shared" ref="BV21" si="115">AX21+AX22+CT21+CT22</f>
        <v>0</v>
      </c>
      <c r="BW21" s="750">
        <f t="shared" ref="BW21" si="116">AY21+AY22+CU21+CU22</f>
        <v>0</v>
      </c>
      <c r="BX21" s="750">
        <f t="shared" ref="BX21" si="117">AZ21+AZ22+CV21+CV22</f>
        <v>0</v>
      </c>
      <c r="BY21" s="750">
        <f t="shared" ref="BY21" si="118">BA21+BA22+CW21+CW22</f>
        <v>12</v>
      </c>
      <c r="BZ21" s="750">
        <f t="shared" ref="BZ21" si="119">BB21+BB22+CX21+CX22</f>
        <v>0</v>
      </c>
      <c r="CA21" s="750">
        <f t="shared" ref="CA21" si="120">BC21+BC22+CY21+CY22</f>
        <v>9</v>
      </c>
      <c r="CB21" s="750">
        <f t="shared" ref="CB21" si="121">BD21+BD22+CZ21+CZ22</f>
        <v>6</v>
      </c>
      <c r="CC21" s="750">
        <f t="shared" ref="CC21" si="122">BE21+BE22+DA21+DA22</f>
        <v>0</v>
      </c>
      <c r="CD21" s="750">
        <f t="shared" ref="CD21" si="123">BF21+BF22+DB21+DB22</f>
        <v>0</v>
      </c>
      <c r="CE21" s="750">
        <f t="shared" ref="CE21" si="124">BG21+BG22+DC21+DC22</f>
        <v>0</v>
      </c>
      <c r="CF21" s="750">
        <f t="shared" ref="CF21" si="125">BH21+BH22+DD21+DD22</f>
        <v>0</v>
      </c>
      <c r="CG21" s="750">
        <f t="shared" ref="CG21" si="126">BI21+BI22+DE21+DE22</f>
        <v>0</v>
      </c>
      <c r="CH21" s="750">
        <f t="shared" ref="CH21" si="127">BJ21+BJ22+DF21+DF22</f>
        <v>0</v>
      </c>
      <c r="CI21" s="755">
        <f t="shared" ref="CI21" si="128">BK21+BK22+DG21+DG22</f>
        <v>0</v>
      </c>
      <c r="CJ21" s="753">
        <f t="shared" ref="CJ21" si="129">SUM(BO21:CH22)</f>
        <v>46</v>
      </c>
      <c r="CL21" s="569" t="s">
        <v>347</v>
      </c>
      <c r="CM21" s="611">
        <f>IF(Blad1!Z$2=$CL21,1)*Blad1!EJ$2</f>
        <v>0</v>
      </c>
      <c r="CN21" s="609">
        <f>IF(Blad1!Z$3=$CL21,1)*Blad1!EJ$3</f>
        <v>0</v>
      </c>
      <c r="CO21" s="609">
        <f>IF(Blad1!Z$4=$CL21,1)*Blad1!EJ$4</f>
        <v>0</v>
      </c>
      <c r="CP21" s="609">
        <f>IF(Blad1!Z$5=$CL21,1)*Blad1!EJ$5</f>
        <v>0</v>
      </c>
      <c r="CQ21" s="609">
        <f>IF(Blad1!Z$6=$CL21,1)*Blad1!EJ$6</f>
        <v>0</v>
      </c>
      <c r="CR21" s="609">
        <f>IF(Blad1!Z$7=$CL21,1)*Blad1!EJ$7</f>
        <v>0</v>
      </c>
      <c r="CS21" s="609">
        <f>IF(Blad1!Z$8=$CL21,1)*Blad1!EJ$8</f>
        <v>0</v>
      </c>
      <c r="CT21" s="609">
        <f>IF(Blad1!Z$9=$CL21,1)*Blad1!EJ$9</f>
        <v>0</v>
      </c>
      <c r="CU21" s="609">
        <f>IF(Blad1!Z$10=$CL21,1)*Blad1!EJ$10</f>
        <v>0</v>
      </c>
      <c r="CV21" s="609">
        <f>IF(Blad1!Z$11=$CL21,1)*Blad1!EJ$11</f>
        <v>0</v>
      </c>
      <c r="CW21" s="609">
        <f>IF(Blad1!Z$12=$CL21,1)*Blad1!EJ$12</f>
        <v>0</v>
      </c>
      <c r="CX21" s="609">
        <f>IF(Blad1!Z$13=$CL21,1)*Blad1!EJ$13</f>
        <v>0</v>
      </c>
      <c r="CY21" s="609">
        <f>IF(Blad1!Z$14=$CL21,1)*Blad1!EJ$14</f>
        <v>0</v>
      </c>
      <c r="CZ21" s="609">
        <f>IF(Blad1!Z$15=$CL21,1)*Blad1!EJ$15</f>
        <v>0</v>
      </c>
      <c r="DA21" s="609">
        <f>IF(Blad1!Z$16=$CL21,1)*Blad1!EJ$16</f>
        <v>0</v>
      </c>
      <c r="DB21" s="609">
        <f>IF(Blad1!Z$17=$CL21,1)*Blad1!EJ$17</f>
        <v>0</v>
      </c>
      <c r="DC21" s="609">
        <f>IF(Blad1!Z$18=$CL21,1)*Blad1!EJ$18</f>
        <v>0</v>
      </c>
      <c r="DD21" s="609">
        <f>IF(Blad1!Z$19=$CL21,1)*Blad1!EJ$19</f>
        <v>0</v>
      </c>
      <c r="DE21" s="609">
        <f>IF(Blad1!Z$20=$CL21,1)*Blad1!EJ$20</f>
        <v>0</v>
      </c>
      <c r="DF21" s="609">
        <f>IF(Blad1!Z$21=$CL21,1)*Blad1!EJ$21</f>
        <v>0</v>
      </c>
      <c r="DG21" s="649">
        <f>IF(Blad1!Z$22=$CL21,1)*Blad1!EJ$22</f>
        <v>0</v>
      </c>
      <c r="DH21" s="652">
        <f t="shared" si="6"/>
        <v>0</v>
      </c>
    </row>
    <row r="22" spans="2:112" ht="15" customHeight="1" x14ac:dyDescent="0.2">
      <c r="B22" s="293">
        <v>14</v>
      </c>
      <c r="C22" s="296" t="s">
        <v>529</v>
      </c>
      <c r="D22" s="297">
        <f>VLOOKUP($C22,punten_rijder,2,0)+VLOOKUP($C22,snelste_ronde,2,0)</f>
        <v>0</v>
      </c>
      <c r="E22" s="297">
        <f>VLOOKUP($C22,punten_rijder,3,0)+VLOOKUP($C22,snelste_ronde,3,0)</f>
        <v>8</v>
      </c>
      <c r="F22" s="297">
        <f>VLOOKUP($C22,punten_rijder,4,0)+VLOOKUP($C22,snelste_ronde,4,0)</f>
        <v>0</v>
      </c>
      <c r="G22" s="297">
        <f>VLOOKUP($C22,punten_rijder,5,0)+VLOOKUP($C22,snelste_ronde,5,0)</f>
        <v>4</v>
      </c>
      <c r="H22" s="297">
        <f>VLOOKUP($C22,punten_rijder,6,0)+VLOOKUP($C22,snelste_ronde,6,0)</f>
        <v>0</v>
      </c>
      <c r="I22" s="297">
        <f>VLOOKUP($C22,punten_rijder,7,0)+VLOOKUP($C22,snelste_ronde,7,0)</f>
        <v>0</v>
      </c>
      <c r="J22" s="297">
        <f>VLOOKUP($C22,punten_rijder,8,0)+VLOOKUP($C22,snelste_ronde,8,0)</f>
        <v>0</v>
      </c>
      <c r="K22" s="297">
        <f>VLOOKUP($C22,punten_rijder,9,0)+VLOOKUP($C22,snelste_ronde,9,0)</f>
        <v>2</v>
      </c>
      <c r="L22" s="297">
        <f>VLOOKUP($C22,punten_rijder,10,0)+VLOOKUP($C22,snelste_ronde,10,0)</f>
        <v>8</v>
      </c>
      <c r="M22" s="297">
        <f>VLOOKUP($C22,punten_rijder,11,0)+VLOOKUP($C22,snelste_ronde,11,0)</f>
        <v>0</v>
      </c>
      <c r="N22" s="297">
        <f>VLOOKUP($C22,punten_rijder,12,0)+VLOOKUP($C22,snelste_ronde,12,0)</f>
        <v>0</v>
      </c>
      <c r="O22" s="297">
        <f>VLOOKUP($C22,punten_rijder,13,0)+VLOOKUP($C22,snelste_ronde,13,0)</f>
        <v>2</v>
      </c>
      <c r="P22" s="297">
        <f>VLOOKUP($C22,punten_rijder,14,0)+VLOOKUP($C22,snelste_ronde,14,0)</f>
        <v>0</v>
      </c>
      <c r="Q22" s="297">
        <f>VLOOKUP($C22,punten_rijder,15,0)+VLOOKUP($C22,snelste_ronde,15,0)</f>
        <v>1</v>
      </c>
      <c r="R22" s="297">
        <f>VLOOKUP($C22,punten_rijder,16,0)+VLOOKUP($C22,snelste_ronde,16,0)</f>
        <v>0</v>
      </c>
      <c r="S22" s="297">
        <f>VLOOKUP($C22,punten_rijder,17,0)+VLOOKUP($C22,snelste_ronde,17,0)</f>
        <v>0</v>
      </c>
      <c r="T22" s="297">
        <f>VLOOKUP($C22,punten_rijder,18,0)+VLOOKUP($C22,snelste_ronde,18,0)</f>
        <v>0</v>
      </c>
      <c r="U22" s="297">
        <f>VLOOKUP($C22,punten_rijder,19,0)+VLOOKUP($C22,snelste_ronde,19,0)</f>
        <v>0</v>
      </c>
      <c r="V22" s="297">
        <f>VLOOKUP($C22,punten_rijder,20,0)+VLOOKUP($C22,snelste_ronde,20,0)</f>
        <v>0</v>
      </c>
      <c r="W22" s="297">
        <f>VLOOKUP($C22,punten_rijder,21,0)+VLOOKUP($C22,snelste_ronde,21,0)</f>
        <v>0</v>
      </c>
      <c r="X22" s="297">
        <f>VLOOKUP($C22,punten_rijder,22,0)+VLOOKUP($C22,snelste_ronde,22,0)</f>
        <v>0</v>
      </c>
      <c r="Y22" s="297">
        <f>SUM(D22:X22)</f>
        <v>25</v>
      </c>
      <c r="Z22" s="547"/>
      <c r="AA22" s="288">
        <f t="shared" si="0"/>
        <v>11</v>
      </c>
      <c r="AB22" s="298" t="str">
        <f t="shared" si="3"/>
        <v>q</v>
      </c>
      <c r="AD22" s="548">
        <f t="shared" si="1"/>
        <v>3</v>
      </c>
      <c r="AE22" s="548"/>
      <c r="AF22" s="548"/>
      <c r="AH22" s="296" t="s">
        <v>347</v>
      </c>
      <c r="AI22" s="550">
        <v>14</v>
      </c>
      <c r="AK22" s="297">
        <f t="shared" si="4"/>
        <v>2</v>
      </c>
      <c r="AO22" s="545"/>
      <c r="AP22" s="553" t="s">
        <v>481</v>
      </c>
      <c r="AQ22" s="554">
        <f>IF(Blad1!$AC$2="L. Stroll",25,0)+IF(Blad1!$AH$2="L. Stroll",18,0)+IF(Blad1!$AM$2="L. Stroll",15,0)+IF(Blad1!$AR$2="L. Stroll",12,0)+IF(Blad1!$AW$2="L. Stroll",10,0)+IF(Blad1!$BB$2="L. Stroll",8,0)+IF(Blad1!$BG$2="L. Stroll",6,0)+IF(Blad1!$BL$2="L. Stroll",4,0)+IF(Blad1!$BQ$2="L. Stroll",2,0)+IF(Blad1!$BV$2="L. Stroll",1,0)</f>
        <v>2</v>
      </c>
      <c r="AR22" s="555">
        <f>IF(Blad1!$AC$3="L. Stroll",25,0)+IF(Blad1!$AH$3="L. Stroll",18,0)+IF(Blad1!$AM$3="L. Stroll",15,0)+IF(Blad1!$AR$3="L. Stroll",12,0)+IF(Blad1!$AW$3="L. Stroll",10,0)+IF(Blad1!$BB$3="L. Stroll",8,0)+IF(Blad1!$BG$3="L. Stroll",6,0)+IF(Blad1!$BL$3="L. Stroll",4,0)+IF(Blad1!$BQ$3="L. Stroll",2,0)+IF(Blad1!$BV$3="L. Stroll",1,0)</f>
        <v>0</v>
      </c>
      <c r="AS22" s="555">
        <f>IF(Blad1!$AC$4="L. Stroll",25,0)+IF(Blad1!$AH$4="L. Stroll",18,0)+IF(Blad1!$AM$4="L. Stroll",15,0)+IF(Blad1!$AR$4="L. Stroll",12,0)+IF(Blad1!$AW$4="L. Stroll",10,0)+IF(Blad1!$BB$4="L. Stroll",8,0)+IF(Blad1!$BG$4="L. Stroll",6,0)+IF(Blad1!$BL$4="L. Stroll",4,0)+IF(Blad1!$BQ$4="L. Stroll",2,0)+IF(Blad1!$BV$4="L. Stroll",1,0)</f>
        <v>0</v>
      </c>
      <c r="AT22" s="555">
        <f>IF(Blad1!$AC$5="L. Stroll",25,0)+IF(Blad1!$AH$5="L. Stroll",18,0)+IF(Blad1!$AM$5="L. Stroll",15,0)+IF(Blad1!$AR$5="L. Stroll",12,0)+IF(Blad1!$AW$5="L. Stroll",10,0)+IF(Blad1!$BB$5="L. Stroll",8,0)+IF(Blad1!$BG$5="L. Stroll",6,0)+IF(Blad1!$BL$5="L. Stroll",4,0)+IF(Blad1!$BQ$5="L. Stroll",2,0)+IF(Blad1!$BV$5="L. Stroll",1,0)</f>
        <v>2</v>
      </c>
      <c r="AU22" s="555">
        <f>IF(Blad1!$AC$6="L. Stroll",25,0)+IF(Blad1!$AH$6="L. Stroll",18,0)+IF(Blad1!$AM$6="L. Stroll",15,0)+IF(Blad1!$AR$6="L. Stroll",12,0)+IF(Blad1!$AW$6="L. Stroll",10,0)+IF(Blad1!$BB$6="L. Stroll",8,0)+IF(Blad1!$BG$6="L. Stroll",6,0)+IF(Blad1!$BL$6="L. Stroll",4,0)+IF(Blad1!$BQ$6="L. Stroll",2,0)+IF(Blad1!$BV$6="L. Stroll",1,0)</f>
        <v>0</v>
      </c>
      <c r="AV22" s="555">
        <f>IF(Blad1!$AC$7="L. Stroll",25,0)+IF(Blad1!$AH$7="L. Stroll",18,0)+IF(Blad1!$AM$7="L. Stroll",15,0)+IF(Blad1!$AR$7="L. Stroll",12,0)+IF(Blad1!$AW$7="L. Stroll",10,0)+IF(Blad1!$BB$7="L. Stroll",8,0)+IF(Blad1!$BG$7="L. Stroll",6,0)+IF(Blad1!$BL$7="L. Stroll",4,0)+IF(Blad1!$BQ$7="L. Stroll",2,0)+IF(Blad1!$BV$7="L. Stroll",1,0)</f>
        <v>0</v>
      </c>
      <c r="AW22" s="555">
        <f>IF(Blad1!$AC$8="L. Stroll",25,0)+IF(Blad1!$AH$8="L. Stroll",18,0)+IF(Blad1!$AM$8="L. Stroll",15,0)+IF(Blad1!$AR$8="L. Stroll",12,0)+IF(Blad1!$AW$8="L. Stroll",10,0)+IF(Blad1!$BB$8="L. Stroll",8,0)+IF(Blad1!$BG$8="L. Stroll",6,0)+IF(Blad1!$BL$8="L. Stroll",4,0)+IF(Blad1!$BQ$8="L. Stroll",2,0)+IF(Blad1!$BV$8="L. Stroll",1,0)</f>
        <v>2</v>
      </c>
      <c r="AX22" s="555">
        <f>IF(Blad1!$AC$9="L. Stroll",25,0)+IF(Blad1!$AH$9="L. Stroll",18,0)+IF(Blad1!$AM$9="L. Stroll",15,0)+IF(Blad1!$AR$9="L. Stroll",12,0)+IF(Blad1!$AW$9="L. Stroll",10,0)+IF(Blad1!$BB$9="L. Stroll",8,0)+IF(Blad1!$BG$9="L. Stroll",6,0)+IF(Blad1!$BL$9="L. Stroll",4,0)+IF(Blad1!$BQ$9="L. Stroll",2,0)+IF(Blad1!$BV$9="L. Stroll",1,0)</f>
        <v>0</v>
      </c>
      <c r="AY22" s="555">
        <f>IF(Blad1!$AC$10="L. Stroll",25,0)+IF(Blad1!$AH$10="L. Stroll",18,0)+IF(Blad1!$AM$10="L. Stroll",15,0)+IF(Blad1!$AR$10="L. Stroll",12,0)+IF(Blad1!$AW$10="L. Stroll",10,0)+IF(Blad1!$BB$10="L. Stroll",8,0)+IF(Blad1!$BG$10="L. Stroll",6,0)+IF(Blad1!$BL$10="L. Stroll",4,0)+IF(Blad1!$BQ$10="L. Stroll",2,0)+IF(Blad1!$BV$10="L. Stroll",1,0)</f>
        <v>0</v>
      </c>
      <c r="AZ22" s="555">
        <f>IF(Blad1!$AC$11="L. Stroll",25,0)+IF(Blad1!$AH$11="L. Stroll",18,0)+IF(Blad1!$AM$11="L. Stroll",15,0)+IF(Blad1!$AR$11="L. Stroll",12,0)+IF(Blad1!$AW$11="L. Stroll",10,0)+IF(Blad1!$BB$11="L. Stroll",8,0)+IF(Blad1!$BG$11="L. Stroll",6,0)+IF(Blad1!$BL$11="L. Stroll",4,0)+IF(Blad1!$BQ$11="L. Stroll",2,0)+IF(Blad1!$BV$11="L. Stroll",1,0)</f>
        <v>0</v>
      </c>
      <c r="BA22" s="555">
        <f>IF(Blad1!$AC$12="L. Stroll",25,0)+IF(Blad1!$AH$12="L. Stroll",18,0)+IF(Blad1!$AM$12="L. Stroll",15,0)+IF(Blad1!$AR$12="L. Stroll",12,0)+IF(Blad1!$AW$12="L. Stroll",10,0)+IF(Blad1!$BB$12="L. Stroll",8,0)+IF(Blad1!$BG$12="L. Stroll",6,0)+IF(Blad1!$BL$12="L. Stroll",4,0)+IF(Blad1!$BQ$12="L. Stroll",2,0)+IF(Blad1!$BV$12="L. Stroll",1,0)</f>
        <v>12</v>
      </c>
      <c r="BB22" s="555">
        <f>IF(Blad1!$AC$13="L. Stroll",25,0)+IF(Blad1!$AH$13="L. Stroll",18,0)+IF(Blad1!$AM$13="L. Stroll",15,0)+IF(Blad1!$AR$13="L. Stroll",12,0)+IF(Blad1!$AW$13="L. Stroll",10,0)+IF(Blad1!$BB$13="L. Stroll",8,0)+IF(Blad1!$BG$13="L. Stroll",6,0)+IF(Blad1!$BL$13="L. Stroll",4,0)+IF(Blad1!$BQ$13="L. Stroll",2,0)+IF(Blad1!$BV$13="L. Stroll",1,0)</f>
        <v>0</v>
      </c>
      <c r="BC22" s="555">
        <f>IF(Blad1!$AC$14="L. Stroll",25,0)+IF(Blad1!$AH$14="L. Stroll",18,0)+IF(Blad1!$AM$14="L. Stroll",15,0)+IF(Blad1!$AR$14="L. Stroll",12,0)+IF(Blad1!$AW$14="L. Stroll",10,0)+IF(Blad1!$BB$14="L. Stroll",8,0)+IF(Blad1!$BG$14="L. Stroll",6,0)+IF(Blad1!$BL$14="L. Stroll",4,0)+IF(Blad1!$BQ$14="L. Stroll",2,0)+IF(Blad1!$BV$14="L. Stroll",1,0)</f>
        <v>1</v>
      </c>
      <c r="BD22" s="555">
        <f>IF(Blad1!$AC$15="L. Stroll",25,0)+IF(Blad1!$AH$15="L. Stroll",18,0)+IF(Blad1!$AM$15="L. Stroll",15,0)+IF(Blad1!$AR$15="L. Stroll",12,0)+IF(Blad1!$AW$15="L. Stroll",10,0)+IF(Blad1!$BB$15="L. Stroll",8,0)+IF(Blad1!$BG$15="L. Stroll",6,0)+IF(Blad1!$BL$15="L. Stroll",4,0)+IF(Blad1!$BQ$15="L. Stroll",2,0)+IF(Blad1!$BV$15="L. Stroll",1,0)</f>
        <v>0</v>
      </c>
      <c r="BE22" s="555">
        <f>IF(Blad1!$AC$16="L. Stroll",25,0)+IF(Blad1!$AH$16="L. Stroll",18,0)+IF(Blad1!$AM$16="L. Stroll",15,0)+IF(Blad1!$AR$16="L. Stroll",12,0)+IF(Blad1!$AW$16="L. Stroll",10,0)+IF(Blad1!$BB$16="L. Stroll",8,0)+IF(Blad1!$BG$16="L. Stroll",6,0)+IF(Blad1!$BL$16="L. Stroll",4,0)+IF(Blad1!$BQ$16="L. Stroll",2,0)+IF(Blad1!$BV$16="L. Stroll",1,0)</f>
        <v>0</v>
      </c>
      <c r="BF22" s="555">
        <f>IF(Blad1!$AC$17="L. Stroll",25,0)+IF(Blad1!$AH$17="L. Stroll",18,0)+IF(Blad1!$AM$17="L. Stroll",15,0)+IF(Blad1!$AR$17="L. Stroll",12,0)+IF(Blad1!$AW$17="L. Stroll",10,0)+IF(Blad1!$BB$17="L. Stroll",8,0)+IF(Blad1!$BG$17="L. Stroll",6,0)+IF(Blad1!$BL$17="L. Stroll",4,0)+IF(Blad1!$BQ$17="L. Stroll",2,0)+IF(Blad1!$BV$17="L. Stroll",1,0)</f>
        <v>0</v>
      </c>
      <c r="BG22" s="555">
        <f>IF(Blad1!$AC$18="L. Stroll¹",25,0)+IF(Blad1!$AH$18="L. Stroll¹",18,0)+IF(Blad1!$AM$18="L. Stroll¹",15,0)+IF(Blad1!$AR$18="L. Stroll¹",12,0)+IF(Blad1!$AW$18="L. Stroll¹",10,0)+IF(Blad1!$BB$18="L. Stroll¹",8,0)+IF(Blad1!$BG$18="L. Stroll¹",6,0)+IF(Blad1!$BL$18="L. Stroll¹",4,0)+IF(Blad1!$BQ$18="L. Stroll¹",2,0)+IF(Blad1!$BV$18="L. Stroll¹",1,0)</f>
        <v>0</v>
      </c>
      <c r="BH22" s="555">
        <f>IF(Blad1!$AC$19="L. Stroll¹",25,0)+IF(Blad1!$AH$19="L. Stroll¹",18,0)+IF(Blad1!$AM$19="L. Stroll¹",15,0)+IF(Blad1!$AR$19="L. Stroll¹",12,0)+IF(Blad1!$AW$19="L. Stroll¹",10,0)+IF(Blad1!$BB$19="L. Stroll¹",8,0)+IF(Blad1!$BG$19="L. Stroll¹",6,0)+IF(Blad1!$BL$19="L. Stroll¹",4,0)+IF(Blad1!$BQ$19="L. Stroll¹",2,0)+IF(Blad1!$BV$19="L. Stroll¹",1,0)</f>
        <v>0</v>
      </c>
      <c r="BI22" s="555">
        <f>IF(Blad1!$AC$20="L. Stroll¹",25,0)+IF(Blad1!$AH$20="L. Stroll¹",18,0)+IF(Blad1!$AM$20="L. Stroll¹",15,0)+IF(Blad1!$AR$20="L. Stroll¹",12,0)+IF(Blad1!$AW$20="L. Stroll¹",10,0)+IF(Blad1!$BB$20="L. Stroll¹",8,0)+IF(Blad1!$BG$20="L. Stroll¹",6,0)+IF(Blad1!$BL$20="L. Stroll¹",4,0)+IF(Blad1!$BQ$20="L. Stroll¹",2,0)+IF(Blad1!$BV$20="L. Stroll¹",1,0)</f>
        <v>0</v>
      </c>
      <c r="BJ22" s="556">
        <f>IF(Blad1!$AC$21="L. Stroll¹",25,0)+IF(Blad1!$AH$21="L. Stroll¹",18,0)+IF(Blad1!$AM$21="L. Stroll¹",15,0)+IF(Blad1!$AR$21="L. Stroll¹",12,0)+IF(Blad1!$AW$21="L. Stroll¹",10,0)+IF(Blad1!$BB$21="L. Stroll¹",8,0)+IF(Blad1!$BG$21="L. Stroll¹",6,0)+IF(Blad1!$BL$21="L. Stroll¹",4,0)+IF(Blad1!$BQ$21="L. Stroll¹",2,0)+IF(Blad1!$BV$21="L. Stroll¹",1,0)</f>
        <v>0</v>
      </c>
      <c r="BK22" s="556">
        <f>IF(Blad1!$AC$22="L. Stroll¹",25,0)+IF(Blad1!$AH$22="L. Stroll¹",18,0)+IF(Blad1!$AM$22="L. Stroll¹",15,0)+IF(Blad1!$AR$22="L. Stroll¹",12,0)+IF(Blad1!$AW$22="L. Stroll¹",10,0)+IF(Blad1!$BB$22="L. Stroll¹",8,0)+IF(Blad1!$BG$22="L. Stroll¹",6,0)+IF(Blad1!$BL$22="L. Stroll¹",4,0)+IF(Blad1!$BQ$22="L. Stroll¹",2,0)+IF(Blad1!$BV$22="L. Stroll¹",1,0)</f>
        <v>0</v>
      </c>
      <c r="BL22" s="557">
        <f t="shared" si="5"/>
        <v>19</v>
      </c>
      <c r="BN22" s="762"/>
      <c r="BO22" s="759"/>
      <c r="BP22" s="750"/>
      <c r="BQ22" s="750"/>
      <c r="BR22" s="750"/>
      <c r="BS22" s="750"/>
      <c r="BT22" s="750"/>
      <c r="BU22" s="750"/>
      <c r="BV22" s="750"/>
      <c r="BW22" s="750"/>
      <c r="BX22" s="750"/>
      <c r="BY22" s="750"/>
      <c r="BZ22" s="750"/>
      <c r="CA22" s="750"/>
      <c r="CB22" s="750"/>
      <c r="CC22" s="750"/>
      <c r="CD22" s="750"/>
      <c r="CE22" s="750"/>
      <c r="CF22" s="750"/>
      <c r="CG22" s="750"/>
      <c r="CH22" s="750"/>
      <c r="CI22" s="755"/>
      <c r="CJ22" s="753"/>
      <c r="CL22" s="569" t="s">
        <v>481</v>
      </c>
      <c r="CM22" s="611">
        <f>IF(Blad1!Z$2=$CL22,1)*Blad1!EJ$2</f>
        <v>0</v>
      </c>
      <c r="CN22" s="609">
        <f>IF(Blad1!Z$3=$CL22,1)*Blad1!EJ$3</f>
        <v>0</v>
      </c>
      <c r="CO22" s="609">
        <f>IF(Blad1!Z$4=$CL22,1)*Blad1!EJ$4</f>
        <v>0</v>
      </c>
      <c r="CP22" s="609">
        <f>IF(Blad1!Z$5=$CL22,1)*Blad1!EJ$5</f>
        <v>0</v>
      </c>
      <c r="CQ22" s="609">
        <f>IF(Blad1!Z$6=$CL22,1)*Blad1!EJ$6</f>
        <v>0</v>
      </c>
      <c r="CR22" s="609">
        <f>IF(Blad1!Z$7=$CL22,1)*Blad1!EJ$7</f>
        <v>0</v>
      </c>
      <c r="CS22" s="609">
        <f>IF(Blad1!Z$8=$CL22,1)*Blad1!EJ$8</f>
        <v>0</v>
      </c>
      <c r="CT22" s="609">
        <f>IF(Blad1!Z$9=$CL22,1)*Blad1!EJ$9</f>
        <v>0</v>
      </c>
      <c r="CU22" s="609">
        <f>IF(Blad1!Z$10=$CL22,1)*Blad1!EJ$10</f>
        <v>0</v>
      </c>
      <c r="CV22" s="609">
        <f>IF(Blad1!Z$11=$CL22,1)*Blad1!EJ$11</f>
        <v>0</v>
      </c>
      <c r="CW22" s="609">
        <f>IF(Blad1!Z$12=$CL22,1)*Blad1!EJ$12</f>
        <v>0</v>
      </c>
      <c r="CX22" s="609">
        <f>IF(Blad1!Z$13=$CL22,1)*Blad1!EJ$13</f>
        <v>0</v>
      </c>
      <c r="CY22" s="609">
        <f>IF(Blad1!Z$14=$CL22,1)*Blad1!EJ$14</f>
        <v>0</v>
      </c>
      <c r="CZ22" s="609">
        <f>IF(Blad1!Z$15=$CL22,1)*Blad1!EJ$15</f>
        <v>0</v>
      </c>
      <c r="DA22" s="609">
        <f>IF(Blad1!Z$16=$CL22,1)*Blad1!EJ$16</f>
        <v>0</v>
      </c>
      <c r="DB22" s="609">
        <f>IF(Blad1!Z$17=$CL22,1)*Blad1!EJ$17</f>
        <v>0</v>
      </c>
      <c r="DC22" s="609">
        <f>IF(Blad1!Z$18=$CL22,1)*Blad1!EJ$18</f>
        <v>0</v>
      </c>
      <c r="DD22" s="609">
        <f>IF(Blad1!Z$19=$CL22,1)*Blad1!EJ$19</f>
        <v>0</v>
      </c>
      <c r="DE22" s="609">
        <f>IF(Blad1!Z$20=$CL22,1)*Blad1!EJ$20</f>
        <v>0</v>
      </c>
      <c r="DF22" s="609">
        <f>IF(Blad1!Z$21=$CL22,1)*Blad1!EJ$21</f>
        <v>0</v>
      </c>
      <c r="DG22" s="649">
        <f>IF(Blad1!Z$22=$CL22,1)*Blad1!EJ$22</f>
        <v>0</v>
      </c>
      <c r="DH22" s="652">
        <f t="shared" si="6"/>
        <v>0</v>
      </c>
    </row>
    <row r="23" spans="2:112" ht="15" customHeight="1" x14ac:dyDescent="0.2">
      <c r="B23" s="293">
        <v>15</v>
      </c>
      <c r="C23" s="296" t="s">
        <v>481</v>
      </c>
      <c r="D23" s="297">
        <f>VLOOKUP($C23,punten_rijder,2,0)+VLOOKUP($C23,snelste_ronde,2,0)</f>
        <v>2</v>
      </c>
      <c r="E23" s="297">
        <f>VLOOKUP($C23,punten_rijder,3,0)+VLOOKUP($C23,snelste_ronde,3,0)</f>
        <v>0</v>
      </c>
      <c r="F23" s="297">
        <f>VLOOKUP($C23,punten_rijder,4,0)+VLOOKUP($C23,snelste_ronde,4,0)</f>
        <v>0</v>
      </c>
      <c r="G23" s="297">
        <f>VLOOKUP($C23,punten_rijder,5,0)+VLOOKUP($C23,snelste_ronde,5,0)</f>
        <v>2</v>
      </c>
      <c r="H23" s="297">
        <f>VLOOKUP($C23,punten_rijder,6,0)+VLOOKUP($C23,snelste_ronde,6,0)</f>
        <v>0</v>
      </c>
      <c r="I23" s="297">
        <f>VLOOKUP($C23,punten_rijder,7,0)+VLOOKUP($C23,snelste_ronde,7,0)</f>
        <v>0</v>
      </c>
      <c r="J23" s="297">
        <f>VLOOKUP($C23,punten_rijder,8,0)+VLOOKUP($C23,snelste_ronde,8,0)</f>
        <v>2</v>
      </c>
      <c r="K23" s="297">
        <f>VLOOKUP($C23,punten_rijder,9,0)+VLOOKUP($C23,snelste_ronde,9,0)</f>
        <v>0</v>
      </c>
      <c r="L23" s="297">
        <f>VLOOKUP($C23,punten_rijder,10,0)+VLOOKUP($C23,snelste_ronde,10,0)</f>
        <v>0</v>
      </c>
      <c r="M23" s="297">
        <f>VLOOKUP($C23,punten_rijder,11,0)+VLOOKUP($C23,snelste_ronde,11,0)</f>
        <v>0</v>
      </c>
      <c r="N23" s="297">
        <f>VLOOKUP($C23,punten_rijder,12,0)+VLOOKUP($C23,snelste_ronde,12,0)</f>
        <v>12</v>
      </c>
      <c r="O23" s="297">
        <f>VLOOKUP($C23,punten_rijder,13,0)+VLOOKUP($C23,snelste_ronde,13,0)</f>
        <v>0</v>
      </c>
      <c r="P23" s="297">
        <f>VLOOKUP($C23,punten_rijder,14,0)+VLOOKUP($C23,snelste_ronde,14,0)</f>
        <v>1</v>
      </c>
      <c r="Q23" s="297">
        <f>VLOOKUP($C23,punten_rijder,15,0)+VLOOKUP($C23,snelste_ronde,15,0)</f>
        <v>0</v>
      </c>
      <c r="R23" s="297">
        <f>VLOOKUP($C23,punten_rijder,16,0)+VLOOKUP($C23,snelste_ronde,16,0)</f>
        <v>0</v>
      </c>
      <c r="S23" s="297">
        <f>VLOOKUP($C23,punten_rijder,17,0)+VLOOKUP($C23,snelste_ronde,17,0)</f>
        <v>0</v>
      </c>
      <c r="T23" s="297">
        <f>VLOOKUP($C23,punten_rijder,18,0)+VLOOKUP($C23,snelste_ronde,18,0)</f>
        <v>0</v>
      </c>
      <c r="U23" s="297">
        <f>VLOOKUP($C23,punten_rijder,19,0)+VLOOKUP($C23,snelste_ronde,19,0)</f>
        <v>0</v>
      </c>
      <c r="V23" s="297">
        <f>VLOOKUP($C23,punten_rijder,20,0)+VLOOKUP($C23,snelste_ronde,20,0)</f>
        <v>0</v>
      </c>
      <c r="W23" s="297">
        <f>VLOOKUP($C23,punten_rijder,21,0)+VLOOKUP($C23,snelste_ronde,21,0)</f>
        <v>0</v>
      </c>
      <c r="X23" s="297">
        <f>VLOOKUP($C23,punten_rijder,22,0)+VLOOKUP($C23,snelste_ronde,22,0)</f>
        <v>0</v>
      </c>
      <c r="Y23" s="297">
        <f>SUM(D23:X23)</f>
        <v>19</v>
      </c>
      <c r="Z23" s="547"/>
      <c r="AA23" s="288">
        <f t="shared" si="0"/>
        <v>15</v>
      </c>
      <c r="AB23" s="298" t="str">
        <f t="shared" si="3"/>
        <v>¬</v>
      </c>
      <c r="AD23" s="548">
        <f t="shared" si="1"/>
        <v>1</v>
      </c>
      <c r="AE23" s="548"/>
      <c r="AF23" s="548"/>
      <c r="AH23" s="296" t="s">
        <v>481</v>
      </c>
      <c r="AI23" s="550">
        <v>15</v>
      </c>
      <c r="AK23" s="297">
        <f t="shared" si="4"/>
        <v>6</v>
      </c>
      <c r="AO23" s="545"/>
      <c r="AP23" s="553" t="s">
        <v>63</v>
      </c>
      <c r="AQ23" s="554">
        <f>IF(Blad1!$AC$2="K. Raïkkönen",25,0)+IF(Blad1!$AH$2="K. Raïkkönen",18,0)+IF(Blad1!$AM$2="K. Raïkkönen",15,0)+IF(Blad1!$AR$2="K. Raïkkönen",12,0)+IF(Blad1!$AW$2="K. Raïkkönen",10,0)+IF(Blad1!$BB$2="K. Raïkkönen",8,0)+IF(Blad1!$BG$2="K. Raïkkönen",6,0)+IF(Blad1!$BL$2="K. Raïkkönen",4,0)+IF(Blad1!$BQ$2="K. Raïkkönen",2,0)+IF(Blad1!$BV$2="K. Raïkkönen",1,0)</f>
        <v>4</v>
      </c>
      <c r="AR23" s="555">
        <f>IF(Blad1!$AC$3="K. Raïkkönen",25,0)+IF(Blad1!$AH$3="K. Raïkkönen",18,0)+IF(Blad1!$AM$3="K. Raïkkönen",15,0)+IF(Blad1!$AR$3="K. Raïkkönen",12,0)+IF(Blad1!$AW$3="K. Raïkkönen",10,0)+IF(Blad1!$BB$3="K. Raïkkönen",8,0)+IF(Blad1!$BG$3="K. Raïkkönen",6,0)+IF(Blad1!$BL$3="K. Raïkkönen",4,0)+IF(Blad1!$BQ$3="K. Raïkkönen",2,0)+IF(Blad1!$BV$3="K. Raïkkönen",1,0)</f>
        <v>6</v>
      </c>
      <c r="AS23" s="555">
        <f>IF(Blad1!$AC$4="K. Raïkkönen",25,0)+IF(Blad1!$AH$4="K. Raïkkönen",18,0)+IF(Blad1!$AM$4="K. Raïkkönen",15,0)+IF(Blad1!$AR$4="K. Raïkkönen",12,0)+IF(Blad1!$AW$4="K. Raïkkönen",10,0)+IF(Blad1!$BB$4="K. Raïkkönen",8,0)+IF(Blad1!$BG$4="K. Raïkkönen",6,0)+IF(Blad1!$BL$4="K. Raïkkönen",4,0)+IF(Blad1!$BQ$4="K. Raïkkönen",2,0)+IF(Blad1!$BV$4="K. Raïkkönen",1,0)</f>
        <v>2</v>
      </c>
      <c r="AT23" s="555">
        <f>IF(Blad1!$AC$5="K. Raïkkönen",25,0)+IF(Blad1!$AH$5="K. Raïkkönen",18,0)+IF(Blad1!$AM$5="K. Raïkkönen",15,0)+IF(Blad1!$AR$5="K. Raïkkönen",12,0)+IF(Blad1!$AW$5="K. Raïkkönen",10,0)+IF(Blad1!$BB$5="K. Raïkkönen",8,0)+IF(Blad1!$BG$5="K. Raïkkönen",6,0)+IF(Blad1!$BL$5="K. Raïkkönen",4,0)+IF(Blad1!$BQ$5="K. Raïkkönen",2,0)+IF(Blad1!$BV$5="K. Raïkkönen",1,0)</f>
        <v>1</v>
      </c>
      <c r="AU23" s="555">
        <f>IF(Blad1!$AC$6="K. Raïkkönen",25,0)+IF(Blad1!$AH$6="K. Raïkkönen",18,0)+IF(Blad1!$AM$6="K. Raïkkönen",15,0)+IF(Blad1!$AR$6="K. Raïkkönen",12,0)+IF(Blad1!$AW$6="K. Raïkkönen",10,0)+IF(Blad1!$BB$6="K. Raïkkönen",8,0)+IF(Blad1!$BG$6="K. Raïkkönen",6,0)+IF(Blad1!$BL$6="K. Raïkkönen",4,0)+IF(Blad1!$BQ$6="K. Raïkkönen",2,0)+IF(Blad1!$BV$6="K. Raïkkönen",1,0)</f>
        <v>0</v>
      </c>
      <c r="AV23" s="555">
        <f>IF(Blad1!$AC$7="K. Raïkkönen",25,0)+IF(Blad1!$AH$7="K. Raïkkönen",18,0)+IF(Blad1!$AM$7="K. Raïkkönen",15,0)+IF(Blad1!$AR$7="K. Raïkkönen",12,0)+IF(Blad1!$AW$7="K. Raïkkönen",10,0)+IF(Blad1!$BB$7="K. Raïkkönen",8,0)+IF(Blad1!$BG$7="K. Raïkkönen",6,0)+IF(Blad1!$BL$7="K. Raïkkönen",4,0)+IF(Blad1!$BQ$7="K. Raïkkönen",2,0)+IF(Blad1!$BV$7="K. Raïkkönen",1,0)</f>
        <v>0</v>
      </c>
      <c r="AW23" s="555">
        <f>IF(Blad1!$AC$8="K. Raïkkönen",25,0)+IF(Blad1!$AH$8="K. Raïkkönen",18,0)+IF(Blad1!$AM$8="K. Raïkkönen",15,0)+IF(Blad1!$AR$8="K. Raïkkönen",12,0)+IF(Blad1!$AW$8="K. Raïkkönen",10,0)+IF(Blad1!$BB$8="K. Raïkkönen",8,0)+IF(Blad1!$BG$8="K. Raïkkönen",6,0)+IF(Blad1!$BL$8="K. Raïkkönen",4,0)+IF(Blad1!$BQ$8="K. Raïkkönen",2,0)+IF(Blad1!$BV$8="K. Raïkkönen",1,0)</f>
        <v>0</v>
      </c>
      <c r="AX23" s="555">
        <f>IF(Blad1!$AC$9="K. Raïkkönen",25,0)+IF(Blad1!$AH$9="K. Raïkkönen",18,0)+IF(Blad1!$AM$9="K. Raïkkönen",15,0)+IF(Blad1!$AR$9="K. Raïkkönen",12,0)+IF(Blad1!$AW$9="K. Raïkkönen",10,0)+IF(Blad1!$BB$9="K. Raïkkönen",8,0)+IF(Blad1!$BG$9="K. Raïkkönen",6,0)+IF(Blad1!$BL$9="K. Raïkkönen",4,0)+IF(Blad1!$BQ$9="K. Raïkkönen",2,0)+IF(Blad1!$BV$9="K. Raïkkönen",1,0)</f>
        <v>6</v>
      </c>
      <c r="AY23" s="555">
        <f>IF(Blad1!$AC$10="K. Raïkkönen",25,0)+IF(Blad1!$AH$10="K. Raïkkönen",18,0)+IF(Blad1!$AM$10="K. Raïkkönen",15,0)+IF(Blad1!$AR$10="K. Raïkkönen",12,0)+IF(Blad1!$AW$10="K. Raïkkönen",10,0)+IF(Blad1!$BB$10="K. Raïkkönen",8,0)+IF(Blad1!$BG$10="K. Raïkkönen",6,0)+IF(Blad1!$BL$10="K. Raïkkönen",4,0)+IF(Blad1!$BQ$10="K. Raïkkönen",2,0)+IF(Blad1!$BV$10="K. Raïkkönen",1,0)</f>
        <v>2</v>
      </c>
      <c r="AZ23" s="555">
        <f>IF(Blad1!$AC$11="K. Raïkkönen",25,0)+IF(Blad1!$AH$11="K. Raïkkönen",18,0)+IF(Blad1!$AM$11="K. Raïkkönen",15,0)+IF(Blad1!$AR$11="K. Raïkkönen",12,0)+IF(Blad1!$AW$11="K. Raïkkönen",10,0)+IF(Blad1!$BB$11="K. Raïkkönen",8,0)+IF(Blad1!$BG$11="K. Raïkkönen",6,0)+IF(Blad1!$BL$11="K. Raïkkönen",4,0)+IF(Blad1!$BQ$11="K. Raïkkönen",2,0)+IF(Blad1!$BV$11="K. Raïkkönen",1,0)</f>
        <v>4</v>
      </c>
      <c r="BA23" s="555">
        <f>IF(Blad1!$AC$12="K. Raïkkönen",25,0)+IF(Blad1!$AH$12="K. Raïkkönen",18,0)+IF(Blad1!$AM$12="K. Raïkkönen",15,0)+IF(Blad1!$AR$12="K. Raïkkönen",12,0)+IF(Blad1!$AW$12="K. Raïkkönen",10,0)+IF(Blad1!$BB$12="K. Raïkkönen",8,0)+IF(Blad1!$BG$12="K. Raïkkönen",6,0)+IF(Blad1!$BL$12="K. Raïkkönen",4,0)+IF(Blad1!$BQ$12="K. Raïkkönen",2,0)+IF(Blad1!$BV$12="K. Raïkkönen",1,0)</f>
        <v>0</v>
      </c>
      <c r="BB23" s="555">
        <f>IF(Blad1!$AC$13="K. Raïkkönen",25,0)+IF(Blad1!$AH$13="K. Raïkkönen",18,0)+IF(Blad1!$AM$13="K. Raïkkönen",15,0)+IF(Blad1!$AR$13="K. Raïkkönen",12,0)+IF(Blad1!$AW$13="K. Raïkkönen",10,0)+IF(Blad1!$BB$13="K. Raïkkönen",8,0)+IF(Blad1!$BG$13="K. Raïkkönen",6,0)+IF(Blad1!$BL$13="K. Raïkkönen",4,0)+IF(Blad1!$BQ$13="K. Raïkkönen",2,0)+IF(Blad1!$BV$13="K. Raïkkönen",1,0)</f>
        <v>6</v>
      </c>
      <c r="BC23" s="555">
        <f>IF(Blad1!$AC$14="K. Raïkkönen",25,0)+IF(Blad1!$AH$14="K. Raïkkönen",18,0)+IF(Blad1!$AM$14="K. Raïkkönen",15,0)+IF(Blad1!$AR$14="K. Raïkkönen",12,0)+IF(Blad1!$AW$14="K. Raïkkönen",10,0)+IF(Blad1!$BB$14="K. Raïkkönen",8,0)+IF(Blad1!$BG$14="K. Raïkkönen",6,0)+IF(Blad1!$BL$14="K. Raïkkönen",4,0)+IF(Blad1!$BQ$14="K. Raïkkönen",2,0)+IF(Blad1!$BV$14="K. Raïkkönen",1,0)</f>
        <v>0</v>
      </c>
      <c r="BD23" s="555">
        <f>IF(Blad1!$AC$15="K. Raïkkönen",25,0)+IF(Blad1!$AH$15="K. Raïkkönen",18,0)+IF(Blad1!$AM$15="K. Raïkkönen",15,0)+IF(Blad1!$AR$15="K. Raïkkönen",12,0)+IF(Blad1!$AW$15="K. Raïkkönen",10,0)+IF(Blad1!$BB$15="K. Raïkkönen",8,0)+IF(Blad1!$BG$15="K. Raïkkönen",6,0)+IF(Blad1!$BL$15="K. Raïkkönen",4,0)+IF(Blad1!$BQ$15="K. Raïkkönen",2,0)+IF(Blad1!$BV$15="K. Raïkkönen",1,0)</f>
        <v>0</v>
      </c>
      <c r="BE23" s="555">
        <f>IF(Blad1!$AC$16="K. Raïkkönen",25,0)+IF(Blad1!$AH$16="K. Raïkkönen",18,0)+IF(Blad1!$AM$16="K. Raïkkönen",15,0)+IF(Blad1!$AR$16="K. Raïkkönen",12,0)+IF(Blad1!$AW$16="K. Raïkkönen",10,0)+IF(Blad1!$BB$16="K. Raïkkönen",8,0)+IF(Blad1!$BG$16="K. Raïkkönen",6,0)+IF(Blad1!$BL$16="K. Raïkkönen",4,0)+IF(Blad1!$BQ$16="K. Raïkkönen",2,0)+IF(Blad1!$BV$16="K. Raïkkönen",1,0)</f>
        <v>0</v>
      </c>
      <c r="BF23" s="555">
        <f>IF(Blad1!$AC$17="K. Raïkkönen",25,0)+IF(Blad1!$AH$17="K. Raïkkönen",18,0)+IF(Blad1!$AM$17="K. Raïkkönen",15,0)+IF(Blad1!$AR$17="K. Raïkkönen",12,0)+IF(Blad1!$AW$17="K. Raïkkönen",10,0)+IF(Blad1!$BB$17="K. Raïkkönen",8,0)+IF(Blad1!$BG$17="K. Raïkkönen",6,0)+IF(Blad1!$BL$17="K. Raïkkönen",4,0)+IF(Blad1!$BQ$17="K. Raïkkönen",2,0)+IF(Blad1!$BV$17="K. Raïkkönen",1,0)</f>
        <v>0</v>
      </c>
      <c r="BG23" s="555">
        <f>IF(Blad1!$AC$18="K. Raïkkönen",25,0)+IF(Blad1!$AH$18="K. Raïkkönen",18,0)+IF(Blad1!$AM$18="K. Raïkkönen",15,0)+IF(Blad1!$AR$18="K. Raïkkönen",12,0)+IF(Blad1!$AW$18="K. Raïkkönen",10,0)+IF(Blad1!$BB$18="K. Raïkkönen",8,0)+IF(Blad1!$BG$18="K. Raïkkönen",6,0)+IF(Blad1!$BL$18="K. Raïkkönen",4,0)+IF(Blad1!$BQ$18="K. Raïkkönen",2,0)+IF(Blad1!$BV$18="K. Raïkkönen",1,0)</f>
        <v>0</v>
      </c>
      <c r="BH23" s="555">
        <f>IF(Blad1!$AC$19="K. Raïkkönen",25,0)+IF(Blad1!$AH$19="K. Raïkkönen",18,0)+IF(Blad1!$AM$19="K. Raïkkönen",15,0)+IF(Blad1!$AR$19="K. Raïkkönen",12,0)+IF(Blad1!$AW$19="K. Raïkkönen",10,0)+IF(Blad1!$BB$19="K. Raïkkönen",8,0)+IF(Blad1!$BG$19="K. Raïkkönen",6,0)+IF(Blad1!$BL$19="K. Raïkkönen",4,0)+IF(Blad1!$BQ$19="K. Raïkkönen",2,0)+IF(Blad1!$BV$19="K. Raïkkönen",1,0)</f>
        <v>0</v>
      </c>
      <c r="BI23" s="555">
        <f>IF(Blad1!$AC$20="K. Raïkkönen",25,0)+IF(Blad1!$AH$20="K. Raïkkönen",18,0)+IF(Blad1!$AM$20="K. Raïkkönen",15,0)+IF(Blad1!$AR$20="K. Raïkkönen",12,0)+IF(Blad1!$AW$20="K. Raïkkönen",10,0)+IF(Blad1!$BB$20="K. Raïkkönen",8,0)+IF(Blad1!$BG$20="K. Raïkkönen",6,0)+IF(Blad1!$BL$20="K. Raïkkönen",4,0)+IF(Blad1!$BQ$20="K. Raïkkönen",2,0)+IF(Blad1!$BV$20="K. Raïkkönen",1,0)</f>
        <v>0</v>
      </c>
      <c r="BJ23" s="556">
        <f>IF(Blad1!$AC$21="K. Raïkkönen",25,0)+IF(Blad1!$AH$21="K. Raïkkönen",18,0)+IF(Blad1!$AM$21="K. Raïkkönen",15,0)+IF(Blad1!$AR$21="K. Raïkkönen",12,0)+IF(Blad1!$AW$21="K. Raïkkönen",10,0)+IF(Blad1!$BB$21="K. Raïkkönen",8,0)+IF(Blad1!$BG$21="K. Raïkkönen",6,0)+IF(Blad1!$BL$21="K. Raïkkönen",4,0)+IF(Blad1!$BQ$21="K. Raïkkönen",2,0)+IF(Blad1!$BV$21="K. Raïkkönen",1,0)</f>
        <v>0</v>
      </c>
      <c r="BK23" s="556">
        <f>IF(Blad1!$AC$22="K. Raïkkönen",25,0)+IF(Blad1!$AH$22="K. Raïkkönen",18,0)+IF(Blad1!$AM$22="K. Raïkkönen",15,0)+IF(Blad1!$AR$22="K. Raïkkönen",12,0)+IF(Blad1!$AW$22="K. Raïkkönen",10,0)+IF(Blad1!$BB$22="K. Raïkkönen",8,0)+IF(Blad1!$BG$22="K. Raïkkönen",6,0)+IF(Blad1!$BL$22="K. Raïkkönen",4,0)+IF(Blad1!$BQ$22="K. Raïkkönen",2,0)+IF(Blad1!$BV$22="K. Raïkkönen",1,0)</f>
        <v>0</v>
      </c>
      <c r="BL23" s="557">
        <f t="shared" si="5"/>
        <v>31</v>
      </c>
      <c r="BN23" s="762" t="s">
        <v>545</v>
      </c>
      <c r="BO23" s="759">
        <f t="shared" ref="BO23" si="130">AQ23+AQ24+CM23+CM24</f>
        <v>4</v>
      </c>
      <c r="BP23" s="750">
        <f t="shared" ref="BP23" si="131">AR23+AR24+CN23+CN24</f>
        <v>6</v>
      </c>
      <c r="BQ23" s="750">
        <f t="shared" ref="BQ23" si="132">AS23+AS24+CO23+CO24</f>
        <v>2</v>
      </c>
      <c r="BR23" s="750">
        <f t="shared" ref="BR23" si="133">AT23+AT24+CP23+CP24</f>
        <v>1</v>
      </c>
      <c r="BS23" s="750">
        <f t="shared" ref="BS23" si="134">AU23+AU24+CQ23+CQ24</f>
        <v>0</v>
      </c>
      <c r="BT23" s="750">
        <f t="shared" ref="BT23" si="135">AV23+AV24+CR23+CR24</f>
        <v>0</v>
      </c>
      <c r="BU23" s="750">
        <f t="shared" ref="BU23" si="136">AW23+AW24+CS23+CS24</f>
        <v>0</v>
      </c>
      <c r="BV23" s="750">
        <f t="shared" ref="BV23" si="137">AX23+AX24+CT23+CT24</f>
        <v>6</v>
      </c>
      <c r="BW23" s="750">
        <f t="shared" ref="BW23" si="138">AY23+AY24+CU23+CU24</f>
        <v>3</v>
      </c>
      <c r="BX23" s="750">
        <f t="shared" ref="BX23" si="139">AZ23+AZ24+CV23+CV24</f>
        <v>4</v>
      </c>
      <c r="BY23" s="750">
        <f t="shared" ref="BY23" si="140">BA23+BA24+CW23+CW24</f>
        <v>0</v>
      </c>
      <c r="BZ23" s="750">
        <f t="shared" ref="BZ23" si="141">BB23+BB24+CX23+CX24</f>
        <v>6</v>
      </c>
      <c r="CA23" s="750">
        <f t="shared" ref="CA23" si="142">BC23+BC24+CY23+CY24</f>
        <v>0</v>
      </c>
      <c r="CB23" s="750">
        <f t="shared" ref="CB23" si="143">BD23+BD24+CZ23+CZ24</f>
        <v>2</v>
      </c>
      <c r="CC23" s="750">
        <f t="shared" ref="CC23" si="144">BE23+BE24+DA23+DA24</f>
        <v>0</v>
      </c>
      <c r="CD23" s="750">
        <f t="shared" ref="CD23" si="145">BF23+BF24+DB23+DB24</f>
        <v>0</v>
      </c>
      <c r="CE23" s="750">
        <f t="shared" ref="CE23" si="146">BG23+BG24+DC23+DC24</f>
        <v>0</v>
      </c>
      <c r="CF23" s="750">
        <f t="shared" ref="CF23" si="147">BH23+BH24+DD23+DD24</f>
        <v>0</v>
      </c>
      <c r="CG23" s="750">
        <f t="shared" ref="CG23" si="148">BI23+BI24+DE23+DE24</f>
        <v>0</v>
      </c>
      <c r="CH23" s="750">
        <f t="shared" ref="CH23" si="149">BJ23+BJ24+DF23+DF24</f>
        <v>0</v>
      </c>
      <c r="CI23" s="755">
        <f t="shared" ref="CI23" si="150">BK23+BK24+DG23+DG24</f>
        <v>0</v>
      </c>
      <c r="CJ23" s="753">
        <f t="shared" ref="CJ23" si="151">SUM(BO23:CH24)</f>
        <v>34</v>
      </c>
      <c r="CL23" s="569" t="s">
        <v>63</v>
      </c>
      <c r="CM23" s="611">
        <f>IF(Blad1!Z$2=$CL23,1)*Blad1!EJ$2</f>
        <v>0</v>
      </c>
      <c r="CN23" s="609">
        <f>IF(Blad1!Z$3=$CL23,1)*Blad1!EJ$3</f>
        <v>0</v>
      </c>
      <c r="CO23" s="609">
        <f>IF(Blad1!Z$4=$CL23,1)*Blad1!EJ$4</f>
        <v>0</v>
      </c>
      <c r="CP23" s="609">
        <f>IF(Blad1!Z$5=$CL23,1)*Blad1!EJ$5</f>
        <v>0</v>
      </c>
      <c r="CQ23" s="609">
        <f>IF(Blad1!Z$6=$CL23,1)*Blad1!EJ$6</f>
        <v>0</v>
      </c>
      <c r="CR23" s="609">
        <f>IF(Blad1!Z$7=$CL23,1)*Blad1!EJ$7</f>
        <v>0</v>
      </c>
      <c r="CS23" s="609">
        <f>IF(Blad1!Z$8=$CL23,1)*Blad1!EJ$8</f>
        <v>0</v>
      </c>
      <c r="CT23" s="609">
        <f>IF(Blad1!Z$9=$CL23,1)*Blad1!EJ$9</f>
        <v>0</v>
      </c>
      <c r="CU23" s="609">
        <f>IF(Blad1!Z$10=$CL23,1)*Blad1!EJ$10</f>
        <v>0</v>
      </c>
      <c r="CV23" s="609">
        <f>IF(Blad1!Z$11=$CL23,1)*Blad1!EJ$11</f>
        <v>0</v>
      </c>
      <c r="CW23" s="609">
        <f>IF(Blad1!Z$12=$CL23,1)*Blad1!EJ$12</f>
        <v>0</v>
      </c>
      <c r="CX23" s="609">
        <f>IF(Blad1!Z$13=$CL23,1)*Blad1!EJ$13</f>
        <v>0</v>
      </c>
      <c r="CY23" s="609">
        <f>IF(Blad1!Z$14=$CL23,1)*Blad1!EJ$14</f>
        <v>0</v>
      </c>
      <c r="CZ23" s="609">
        <f>IF(Blad1!Z$15=$CL23,1)*Blad1!EJ$15</f>
        <v>0</v>
      </c>
      <c r="DA23" s="609">
        <f>IF(Blad1!Z$16=$CL23,1)*Blad1!EJ$16</f>
        <v>0</v>
      </c>
      <c r="DB23" s="609">
        <f>IF(Blad1!Z$17=$CL23,1)*Blad1!EJ$17</f>
        <v>0</v>
      </c>
      <c r="DC23" s="609">
        <f>IF(Blad1!Z$18=$CL23,1)*Blad1!EJ$18</f>
        <v>0</v>
      </c>
      <c r="DD23" s="609">
        <f>IF(Blad1!Z$19=$CL23,1)*Blad1!EJ$19</f>
        <v>0</v>
      </c>
      <c r="DE23" s="609">
        <f>IF(Blad1!Z$20=$CL23,1)*Blad1!EJ$20</f>
        <v>0</v>
      </c>
      <c r="DF23" s="609">
        <f>IF(Blad1!Z$21=$CL23,1)*Blad1!EJ$21</f>
        <v>0</v>
      </c>
      <c r="DG23" s="649">
        <f>IF(Blad1!Z$22=$CL23,1)*Blad1!EJ$22</f>
        <v>0</v>
      </c>
      <c r="DH23" s="652">
        <f t="shared" si="6"/>
        <v>0</v>
      </c>
    </row>
    <row r="24" spans="2:112" ht="15" customHeight="1" x14ac:dyDescent="0.2">
      <c r="B24" s="293">
        <v>16</v>
      </c>
      <c r="C24" s="296" t="s">
        <v>369</v>
      </c>
      <c r="D24" s="297">
        <f>VLOOKUP($C24,punten_rijder,2,0)+VLOOKUP($C24,snelste_ronde,2,0)</f>
        <v>8</v>
      </c>
      <c r="E24" s="297">
        <f>VLOOKUP($C24,punten_rijder,3,0)+VLOOKUP($C24,snelste_ronde,3,0)</f>
        <v>0</v>
      </c>
      <c r="F24" s="297">
        <f>VLOOKUP($C24,punten_rijder,4,0)+VLOOKUP($C24,snelste_ronde,4,0)</f>
        <v>0</v>
      </c>
      <c r="G24" s="297">
        <f>VLOOKUP($C24,punten_rijder,5,0)+VLOOKUP($C24,snelste_ronde,5,0)</f>
        <v>0</v>
      </c>
      <c r="H24" s="297">
        <f>VLOOKUP($C24,punten_rijder,6,0)+VLOOKUP($C24,snelste_ronde,6,0)</f>
        <v>6</v>
      </c>
      <c r="I24" s="297">
        <f>VLOOKUP($C24,punten_rijder,7,0)+VLOOKUP($C24,snelste_ronde,7,0)</f>
        <v>0</v>
      </c>
      <c r="J24" s="297">
        <f>VLOOKUP($C24,punten_rijder,8,0)+VLOOKUP($C24,snelste_ronde,8,0)</f>
        <v>0</v>
      </c>
      <c r="K24" s="297">
        <f>VLOOKUP($C24,punten_rijder,9,0)+VLOOKUP($C24,snelste_ronde,9,0)</f>
        <v>0</v>
      </c>
      <c r="L24" s="297">
        <f>VLOOKUP($C24,punten_rijder,10,0)+VLOOKUP($C24,snelste_ronde,10,0)</f>
        <v>0</v>
      </c>
      <c r="M24" s="297">
        <f>VLOOKUP($C24,punten_rijder,11,0)+VLOOKUP($C24,snelste_ronde,11,0)</f>
        <v>0</v>
      </c>
      <c r="N24" s="297">
        <f>VLOOKUP($C24,punten_rijder,12,0)+VLOOKUP($C24,snelste_ronde,12,0)</f>
        <v>4</v>
      </c>
      <c r="O24" s="297">
        <f>VLOOKUP($C24,punten_rijder,13,0)+VLOOKUP($C24,snelste_ronde,13,0)</f>
        <v>0</v>
      </c>
      <c r="P24" s="297">
        <f>VLOOKUP($C24,punten_rijder,14,0)+VLOOKUP($C24,snelste_ronde,14,0)</f>
        <v>0</v>
      </c>
      <c r="Q24" s="297">
        <f>VLOOKUP($C24,punten_rijder,15,0)+VLOOKUP($C24,snelste_ronde,15,0)</f>
        <v>0</v>
      </c>
      <c r="R24" s="297">
        <f>VLOOKUP($C24,punten_rijder,16,0)+VLOOKUP($C24,snelste_ronde,16,0)</f>
        <v>0</v>
      </c>
      <c r="S24" s="297">
        <f>VLOOKUP($C24,punten_rijder,17,0)+VLOOKUP($C24,snelste_ronde,17,0)</f>
        <v>0</v>
      </c>
      <c r="T24" s="297">
        <f>VLOOKUP($C24,punten_rijder,18,0)+VLOOKUP($C24,snelste_ronde,18,0)</f>
        <v>0</v>
      </c>
      <c r="U24" s="297">
        <f>VLOOKUP($C24,punten_rijder,19,0)+VLOOKUP($C24,snelste_ronde,19,0)</f>
        <v>0</v>
      </c>
      <c r="V24" s="297">
        <f>VLOOKUP($C24,punten_rijder,20,0)+VLOOKUP($C24,snelste_ronde,20,0)</f>
        <v>0</v>
      </c>
      <c r="W24" s="297">
        <f>VLOOKUP($C24,punten_rijder,21,0)+VLOOKUP($C24,snelste_ronde,21,0)</f>
        <v>0</v>
      </c>
      <c r="X24" s="297">
        <f>VLOOKUP($C24,punten_rijder,22,0)+VLOOKUP($C24,snelste_ronde,22,0)</f>
        <v>0</v>
      </c>
      <c r="Y24" s="297">
        <f>SUM(D24:X24)</f>
        <v>18</v>
      </c>
      <c r="Z24" s="547"/>
      <c r="AA24" s="288">
        <f t="shared" si="0"/>
        <v>16</v>
      </c>
      <c r="AB24" s="298" t="str">
        <f t="shared" si="3"/>
        <v>¬</v>
      </c>
      <c r="AD24" s="548">
        <f t="shared" si="1"/>
        <v>1</v>
      </c>
      <c r="AE24" s="548"/>
      <c r="AF24" s="548"/>
      <c r="AH24" s="296" t="s">
        <v>369</v>
      </c>
      <c r="AI24" s="550">
        <v>16</v>
      </c>
      <c r="AK24" s="297">
        <f t="shared" si="4"/>
        <v>1</v>
      </c>
      <c r="AO24" s="545"/>
      <c r="AP24" s="553" t="s">
        <v>497</v>
      </c>
      <c r="AQ24" s="554">
        <f>IF(Blad1!$AC$2="A. Giovinazzi",25,0)+IF(Blad1!$AH$2="A. Giovinazzi",18,0)+IF(Blad1!$AM$2="A. Giovinazzi",15,0)+IF(Blad1!$AR$2="A. Giovinazzi",12,0)+IF(Blad1!$AW$2="A. Giovinazzi",10,0)+IF(Blad1!$BB$2="A. Giovinazzi",8,0)+IF(Blad1!$BG$2="A. Giovinazzi",6,0)+IF(Blad1!$BL$2="A. Giovinazzi",4,0)+IF(Blad1!$BQ$2="A. Giovinazzi",2,0)+IF(Blad1!$BV$2="A. Giovinazzi",1,0)</f>
        <v>0</v>
      </c>
      <c r="AR24" s="555">
        <f>IF(Blad1!$AC$3="A. Giovinazzi",25,0)+IF(Blad1!$AH$3="A. Giovinazzi",18,0)+IF(Blad1!$AM$3="A. Giovinazzi",15,0)+IF(Blad1!$AR$3="A. Giovinazzi",12,0)+IF(Blad1!$AW$3="A. Giovinazzi",10,0)+IF(Blad1!$BB$3="A. Giovinazzi",8,0)+IF(Blad1!$BG$3="A. Giovinazzi",6,0)+IF(Blad1!$BL$3="A. Giovinazzi",4,0)+IF(Blad1!$BQ$3="A. Giovinazzi",2,0)+IF(Blad1!$BV$3="A. Giovinazzi",1,0)</f>
        <v>0</v>
      </c>
      <c r="AS24" s="555">
        <f>IF(Blad1!$AC$4="A. Giovinazzi",25,0)+IF(Blad1!$AH$4="A. Giovinazzi",18,0)+IF(Blad1!$AM$4="A. Giovinazzi",15,0)+IF(Blad1!$AR$4="A. Giovinazzi",12,0)+IF(Blad1!$AW$4="A. Giovinazzi",10,0)+IF(Blad1!$BB$4="A. Giovinazzi",8,0)+IF(Blad1!$BG$4="A. Giovinazzi",6,0)+IF(Blad1!$BL$4="A. Giovinazzi",4,0)+IF(Blad1!$BQ$4="A. Giovinazzi",2,0)+IF(Blad1!$BV$4="A. Giovinazzi",1,0)</f>
        <v>0</v>
      </c>
      <c r="AT24" s="555">
        <f>IF(Blad1!$AC$5="A. Giovinazzi",25,0)+IF(Blad1!$AH$5="A. Giovinazzi",18,0)+IF(Blad1!$AM$5="A. Giovinazzi",15,0)+IF(Blad1!$AR$5="A. Giovinazzi",12,0)+IF(Blad1!$AW$5="A. Giovinazzi",10,0)+IF(Blad1!$BB$5="A. Giovinazzi",8,0)+IF(Blad1!$BG$5="A. Giovinazzi",6,0)+IF(Blad1!$BL$5="A. Giovinazzi",4,0)+IF(Blad1!$BQ$5="A. Giovinazzi",2,0)+IF(Blad1!$BV$5="A. Giovinazzi",1,0)</f>
        <v>0</v>
      </c>
      <c r="AU24" s="555">
        <f>IF(Blad1!$AC$6="A. Giovinazzi",25,0)+IF(Blad1!$AH$6="A. Giovinazzi",18,0)+IF(Blad1!$AM$6="A. Giovinazzi",15,0)+IF(Blad1!$AR$6="A. Giovinazzi",12,0)+IF(Blad1!$AW$6="A. Giovinazzi",10,0)+IF(Blad1!$BB$6="A. Giovinazzi",8,0)+IF(Blad1!$BG$6="A. Giovinazzi",6,0)+IF(Blad1!$BL$6="A. Giovinazzi",4,0)+IF(Blad1!$BQ$6="A. Giovinazzi",2,0)+IF(Blad1!$BV$6="A. Giovinazzi",1,0)</f>
        <v>0</v>
      </c>
      <c r="AV24" s="555">
        <f>IF(Blad1!$AC$7="A. Giovinazzi",25,0)+IF(Blad1!$AH$7="A. Giovinazzi",18,0)+IF(Blad1!$AM$7="A. Giovinazzi",15,0)+IF(Blad1!$AR$7="A. Giovinazzi",12,0)+IF(Blad1!$AW$7="A. Giovinazzi",10,0)+IF(Blad1!$BB$7="A. Giovinazzi",8,0)+IF(Blad1!$BG$7="A. Giovinazzi",6,0)+IF(Blad1!$BL$7="A. Giovinazzi",4,0)+IF(Blad1!$BQ$7="A. Giovinazzi",2,0)+IF(Blad1!$BV$7="A. Giovinazzi",1,0)</f>
        <v>0</v>
      </c>
      <c r="AW24" s="555">
        <f>IF(Blad1!$AC$8="A. Giovinazzi",25,0)+IF(Blad1!$AH$8="A. Giovinazzi",18,0)+IF(Blad1!$AM$8="A. Giovinazzi",15,0)+IF(Blad1!$AR$8="A. Giovinazzi",12,0)+IF(Blad1!$AW$8="A. Giovinazzi",10,0)+IF(Blad1!$BB$8="A. Giovinazzi",8,0)+IF(Blad1!$BG$8="A. Giovinazzi",6,0)+IF(Blad1!$BL$8="A. Giovinazzi",4,0)+IF(Blad1!$BQ$8="A. Giovinazzi",2,0)+IF(Blad1!$BV$8="A. Giovinazzi",1,0)</f>
        <v>0</v>
      </c>
      <c r="AX24" s="555">
        <f>IF(Blad1!$AC$9="A. Giovinazzi",25,0)+IF(Blad1!$AH$9="A. Giovinazzi",18,0)+IF(Blad1!$AM$9="A. Giovinazzi",15,0)+IF(Blad1!$AR$9="A. Giovinazzi",12,0)+IF(Blad1!$AW$9="A. Giovinazzi",10,0)+IF(Blad1!$BB$9="A. Giovinazzi",8,0)+IF(Blad1!$BG$9="A. Giovinazzi",6,0)+IF(Blad1!$BL$9="A. Giovinazzi",4,0)+IF(Blad1!$BQ$9="A. Giovinazzi",2,0)+IF(Blad1!$BV$9="A. Giovinazzi",1,0)</f>
        <v>0</v>
      </c>
      <c r="AY24" s="555">
        <f>IF(Blad1!$AC$10="A. Giovinazzi",25,0)+IF(Blad1!$AH$10="A. Giovinazzi",18,0)+IF(Blad1!$AM$10="A. Giovinazzi",15,0)+IF(Blad1!$AR$10="A. Giovinazzi",12,0)+IF(Blad1!$AW$10="A. Giovinazzi",10,0)+IF(Blad1!$BB$10="A. Giovinazzi",8,0)+IF(Blad1!$BG$10="A. Giovinazzi",6,0)+IF(Blad1!$BL$10="A. Giovinazzi",4,0)+IF(Blad1!$BQ$10="A. Giovinazzi",2,0)+IF(Blad1!$BV$10="A. Giovinazzi",1,0)</f>
        <v>1</v>
      </c>
      <c r="AZ24" s="555">
        <f>IF(Blad1!$AC$11="A. Giovinazzi",25,0)+IF(Blad1!$AH$11="A. Giovinazzi",18,0)+IF(Blad1!$AM$11="A. Giovinazzi",15,0)+IF(Blad1!$AR$11="A. Giovinazzi",12,0)+IF(Blad1!$AW$11="A. Giovinazzi",10,0)+IF(Blad1!$BB$11="A. Giovinazzi",8,0)+IF(Blad1!$BG$11="A. Giovinazzi",6,0)+IF(Blad1!$BL$11="A. Giovinazzi",4,0)+IF(Blad1!$BQ$11="A. Giovinazzi",2,0)+IF(Blad1!$BV$11="A. Giovinazzi",1,0)</f>
        <v>0</v>
      </c>
      <c r="BA24" s="555">
        <f>IF(Blad1!$AC$12="A. Giovinazzi",25,0)+IF(Blad1!$AH$12="A. Giovinazzi",18,0)+IF(Blad1!$AM$12="A. Giovinazzi",15,0)+IF(Blad1!$AR$12="A. Giovinazzi",12,0)+IF(Blad1!$AW$12="A. Giovinazzi",10,0)+IF(Blad1!$BB$12="A. Giovinazzi",8,0)+IF(Blad1!$BG$12="A. Giovinazzi",6,0)+IF(Blad1!$BL$12="A. Giovinazzi",4,0)+IF(Blad1!$BQ$12="A. Giovinazzi",2,0)+IF(Blad1!$BV$12="A. Giovinazzi",1,0)</f>
        <v>0</v>
      </c>
      <c r="BB24" s="555">
        <f>IF(Blad1!$AC$13="A. Giovinazzi",25,0)+IF(Blad1!$AH$13="A. Giovinazzi",18,0)+IF(Blad1!$AM$13="A. Giovinazzi",15,0)+IF(Blad1!$AR$13="A. Giovinazzi",12,0)+IF(Blad1!$AW$13="A. Giovinazzi",10,0)+IF(Blad1!$BB$13="A. Giovinazzi",8,0)+IF(Blad1!$BG$13="A. Giovinazzi",6,0)+IF(Blad1!$BL$13="A. Giovinazzi",4,0)+IF(Blad1!$BQ$13="A. Giovinazzi",2,0)+IF(Blad1!$BV$13="A. Giovinazzi",1,0)</f>
        <v>0</v>
      </c>
      <c r="BC24" s="555">
        <f>IF(Blad1!$AC$14="A. Giovinazzi",25,0)+IF(Blad1!$AH$14="A. Giovinazzi",18,0)+IF(Blad1!$AM$14="A. Giovinazzi",15,0)+IF(Blad1!$AR$14="A. Giovinazzi",12,0)+IF(Blad1!$AW$14="A. Giovinazzi",10,0)+IF(Blad1!$BB$14="A. Giovinazzi",8,0)+IF(Blad1!$BG$14="A. Giovinazzi",6,0)+IF(Blad1!$BL$14="A. Giovinazzi",4,0)+IF(Blad1!$BQ$14="A. Giovinazzi",2,0)+IF(Blad1!$BV$14="A. Giovinazzi",1,0)</f>
        <v>0</v>
      </c>
      <c r="BD24" s="555">
        <f>IF(Blad1!$AC$15="A. Giovinazzi",25,0)+IF(Blad1!$AH$15="A. Giovinazzi",18,0)+IF(Blad1!$AM$15="A. Giovinazzi",15,0)+IF(Blad1!$AR$15="A. Giovinazzi",12,0)+IF(Blad1!$AW$15="A. Giovinazzi",10,0)+IF(Blad1!$BB$15="A. Giovinazzi",8,0)+IF(Blad1!$BG$15="A. Giovinazzi",6,0)+IF(Blad1!$BL$15="A. Giovinazzi",4,0)+IF(Blad1!$BQ$15="A. Giovinazzi",2,0)+IF(Blad1!$BV$15="A. Giovinazzi",1,0)</f>
        <v>2</v>
      </c>
      <c r="BE24" s="555">
        <f>IF(Blad1!$AC$16="A. Giovinazzi",25,0)+IF(Blad1!$AH$16="A. Giovinazzi",18,0)+IF(Blad1!$AM$16="A. Giovinazzi",15,0)+IF(Blad1!$AR$16="A. Giovinazzi",12,0)+IF(Blad1!$AW$16="A. Giovinazzi",10,0)+IF(Blad1!$BB$16="A. Giovinazzi",8,0)+IF(Blad1!$BG$16="A. Giovinazzi",6,0)+IF(Blad1!$BL$16="A. Giovinazzi",4,0)+IF(Blad1!$BQ$16="A. Giovinazzi",2,0)+IF(Blad1!$BV$16="A. Giovinazzi",1,0)</f>
        <v>0</v>
      </c>
      <c r="BF24" s="555">
        <f>IF(Blad1!$AC$17="A. Giovinazzi",25,0)+IF(Blad1!$AH$17="A. Giovinazzi",18,0)+IF(Blad1!$AM$17="A. Giovinazzi",15,0)+IF(Blad1!$AR$17="A. Giovinazzi",12,0)+IF(Blad1!$AW$17="A. Giovinazzi",10,0)+IF(Blad1!$BB$17="A. Giovinazzi",8,0)+IF(Blad1!$BG$17="A. Giovinazzi",6,0)+IF(Blad1!$BL$17="A. Giovinazzi",4,0)+IF(Blad1!$BQ$17="A. Giovinazzi",2,0)+IF(Blad1!$BV$17="A. Giovinazzi",1,0)</f>
        <v>0</v>
      </c>
      <c r="BG24" s="555">
        <f>IF(Blad1!$AC$18="A. Giovinazzi",25,0)+IF(Blad1!$AH$18="A. Giovinazzi",18,0)+IF(Blad1!$AM$18="A. Giovinazzi",15,0)+IF(Blad1!$AR$18="A. Giovinazzi",12,0)+IF(Blad1!$AW$18="A. Giovinazzi",10,0)+IF(Blad1!$BB$18="A. Giovinazzi",8,0)+IF(Blad1!$BG$18="A. Giovinazzi",6,0)+IF(Blad1!$BL$18="A. Giovinazzi",4,0)+IF(Blad1!$BQ$18="A. Giovinazzi",2,0)+IF(Blad1!$BV$18="A. Giovinazzi",1,0)</f>
        <v>0</v>
      </c>
      <c r="BH24" s="555">
        <f>IF(Blad1!$AC$19="A. Giovinazzi",25,0)+IF(Blad1!$AH$19="A. Giovinazzi",18,0)+IF(Blad1!$AM$19="A. Giovinazzi",15,0)+IF(Blad1!$AR$19="A. Giovinazzi",12,0)+IF(Blad1!$AW$19="A. Giovinazzi",10,0)+IF(Blad1!$BB$19="A. Giovinazzi",8,0)+IF(Blad1!$BG$19="A. Giovinazzi",6,0)+IF(Blad1!$BL$19="A. Giovinazzi",4,0)+IF(Blad1!$BQ$19="A. Giovinazzi",2,0)+IF(Blad1!$BV$19="A. Giovinazzi",1,0)</f>
        <v>0</v>
      </c>
      <c r="BI24" s="555">
        <f>IF(Blad1!$AC$20="A. Giovinazzi",25,0)+IF(Blad1!$AH$20="A. Giovinazzi",18,0)+IF(Blad1!$AM$20="A. Giovinazzi",15,0)+IF(Blad1!$AR$20="A. Giovinazzi",12,0)+IF(Blad1!$AW$20="A. Giovinazzi",10,0)+IF(Blad1!$BB$20="A. Giovinazzi",8,0)+IF(Blad1!$BG$20="A. Giovinazzi",6,0)+IF(Blad1!$BL$20="A. Giovinazzi",4,0)+IF(Blad1!$BQ$20="A. Giovinazzi",2,0)+IF(Blad1!$BV$20="A. Giovinazzi",1,0)</f>
        <v>0</v>
      </c>
      <c r="BJ24" s="556">
        <f>IF(Blad1!$AC$21="A. Giovinazzi",25,0)+IF(Blad1!$AH$21="A. Giovinazzi",18,0)+IF(Blad1!$AM$21="A. Giovinazzi",15,0)+IF(Blad1!$AR$21="A. Giovinazzi",12,0)+IF(Blad1!$AW$21="A. Giovinazzi",10,0)+IF(Blad1!$BB$21="A. Giovinazzi",8,0)+IF(Blad1!$BG$21="A. Giovinazzi",6,0)+IF(Blad1!$BL$21="A. Giovinazzi",4,0)+IF(Blad1!$BQ$21="A. Giovinazzi",2,0)+IF(Blad1!$BV$21="A. Giovinazzi",1,0)</f>
        <v>0</v>
      </c>
      <c r="BK24" s="556">
        <f>IF(Blad1!$AC$22="A. Giovinazzi",25,0)+IF(Blad1!$AH$22="A. Giovinazzi",18,0)+IF(Blad1!$AM$22="A. Giovinazzi",15,0)+IF(Blad1!$AR$22="A. Giovinazzi",12,0)+IF(Blad1!$AW$22="A. Giovinazzi",10,0)+IF(Blad1!$BB$22="A. Giovinazzi",8,0)+IF(Blad1!$BG$22="A. Giovinazzi",6,0)+IF(Blad1!$BL$22="A. Giovinazzi",4,0)+IF(Blad1!$BQ$22="A. Giovinazzi",2,0)+IF(Blad1!$BV$22="A. Giovinazzi",1,0)</f>
        <v>0</v>
      </c>
      <c r="BL24" s="557">
        <f t="shared" si="5"/>
        <v>3</v>
      </c>
      <c r="BN24" s="762"/>
      <c r="BO24" s="759"/>
      <c r="BP24" s="750"/>
      <c r="BQ24" s="750"/>
      <c r="BR24" s="750"/>
      <c r="BS24" s="750"/>
      <c r="BT24" s="750"/>
      <c r="BU24" s="750"/>
      <c r="BV24" s="750"/>
      <c r="BW24" s="750"/>
      <c r="BX24" s="750"/>
      <c r="BY24" s="750"/>
      <c r="BZ24" s="750"/>
      <c r="CA24" s="750"/>
      <c r="CB24" s="750"/>
      <c r="CC24" s="750"/>
      <c r="CD24" s="750"/>
      <c r="CE24" s="750"/>
      <c r="CF24" s="750"/>
      <c r="CG24" s="750"/>
      <c r="CH24" s="750"/>
      <c r="CI24" s="755"/>
      <c r="CJ24" s="753"/>
      <c r="CL24" s="569" t="s">
        <v>497</v>
      </c>
      <c r="CM24" s="611">
        <f>IF(Blad1!Z$2=$CL24,1)*Blad1!EJ$2</f>
        <v>0</v>
      </c>
      <c r="CN24" s="609">
        <f>IF(Blad1!Z$3=$CL24,1)*Blad1!EJ$3</f>
        <v>0</v>
      </c>
      <c r="CO24" s="609">
        <f>IF(Blad1!Z$4=$CL24,1)*Blad1!EJ$4</f>
        <v>0</v>
      </c>
      <c r="CP24" s="609">
        <f>IF(Blad1!Z$5=$CL24,1)*Blad1!EJ$5</f>
        <v>0</v>
      </c>
      <c r="CQ24" s="609">
        <f>IF(Blad1!Z$6=$CL24,1)*Blad1!EJ$6</f>
        <v>0</v>
      </c>
      <c r="CR24" s="609">
        <f>IF(Blad1!Z$7=$CL24,1)*Blad1!EJ$7</f>
        <v>0</v>
      </c>
      <c r="CS24" s="609">
        <f>IF(Blad1!Z$8=$CL24,1)*Blad1!EJ$8</f>
        <v>0</v>
      </c>
      <c r="CT24" s="609">
        <f>IF(Blad1!Z$9=$CL24,1)*Blad1!EJ$9</f>
        <v>0</v>
      </c>
      <c r="CU24" s="609">
        <f>IF(Blad1!Z$10=$CL24,1)*Blad1!EJ$10</f>
        <v>0</v>
      </c>
      <c r="CV24" s="609">
        <f>IF(Blad1!Z$11=$CL24,1)*Blad1!EJ$11</f>
        <v>0</v>
      </c>
      <c r="CW24" s="609">
        <f>IF(Blad1!Z$12=$CL24,1)*Blad1!EJ$12</f>
        <v>0</v>
      </c>
      <c r="CX24" s="609">
        <f>IF(Blad1!Z$13=$CL24,1)*Blad1!EJ$13</f>
        <v>0</v>
      </c>
      <c r="CY24" s="609">
        <f>IF(Blad1!Z$14=$CL24,1)*Blad1!EJ$14</f>
        <v>0</v>
      </c>
      <c r="CZ24" s="609">
        <f>IF(Blad1!Z$15=$CL24,1)*Blad1!EJ$15</f>
        <v>0</v>
      </c>
      <c r="DA24" s="609">
        <f>IF(Blad1!Z$16=$CL24,1)*Blad1!EJ$16</f>
        <v>0</v>
      </c>
      <c r="DB24" s="609">
        <f>IF(Blad1!Z$17=$CL24,1)*Blad1!EJ$17</f>
        <v>0</v>
      </c>
      <c r="DC24" s="609">
        <f>IF(Blad1!Z$18=$CL24,1)*Blad1!EJ$18</f>
        <v>0</v>
      </c>
      <c r="DD24" s="609">
        <f>IF(Blad1!Z$19=$CL24,1)*Blad1!EJ$19</f>
        <v>0</v>
      </c>
      <c r="DE24" s="609">
        <f>IF(Blad1!Z$20=$CL24,1)*Blad1!EJ$20</f>
        <v>0</v>
      </c>
      <c r="DF24" s="609">
        <f>IF(Blad1!Z$21=$CL24,1)*Blad1!EJ$21</f>
        <v>0</v>
      </c>
      <c r="DG24" s="649">
        <f>IF(Blad1!Z$22=$CL24,1)*Blad1!EJ$22</f>
        <v>0</v>
      </c>
      <c r="DH24" s="652">
        <f t="shared" si="6"/>
        <v>0</v>
      </c>
    </row>
    <row r="25" spans="2:112" ht="15" customHeight="1" x14ac:dyDescent="0.2">
      <c r="B25" s="293">
        <v>17</v>
      </c>
      <c r="C25" s="296" t="s">
        <v>349</v>
      </c>
      <c r="D25" s="297">
        <f>VLOOKUP($C25,punten_rijder,2,0)+VLOOKUP($C25,snelste_ronde,2,0)</f>
        <v>0</v>
      </c>
      <c r="E25" s="297">
        <f>VLOOKUP($C25,punten_rijder,3,0)+VLOOKUP($C25,snelste_ronde,3,0)</f>
        <v>0</v>
      </c>
      <c r="F25" s="297">
        <f>VLOOKUP($C25,punten_rijder,4,0)+VLOOKUP($C25,snelste_ronde,4,0)</f>
        <v>0</v>
      </c>
      <c r="G25" s="297">
        <f>VLOOKUP($C25,punten_rijder,5,0)+VLOOKUP($C25,snelste_ronde,5,0)</f>
        <v>0</v>
      </c>
      <c r="H25" s="297">
        <f>VLOOKUP($C25,punten_rijder,6,0)+VLOOKUP($C25,snelste_ronde,6,0)</f>
        <v>1</v>
      </c>
      <c r="I25" s="297">
        <f>VLOOKUP($C25,punten_rijder,7,0)+VLOOKUP($C25,snelste_ronde,7,0)</f>
        <v>1</v>
      </c>
      <c r="J25" s="297">
        <f>VLOOKUP($C25,punten_rijder,8,0)+VLOOKUP($C25,snelste_ronde,8,0)</f>
        <v>0</v>
      </c>
      <c r="K25" s="297">
        <f>VLOOKUP($C25,punten_rijder,9,0)+VLOOKUP($C25,snelste_ronde,9,0)</f>
        <v>0</v>
      </c>
      <c r="L25" s="297">
        <f>VLOOKUP($C25,punten_rijder,10,0)+VLOOKUP($C25,snelste_ronde,10,0)</f>
        <v>0</v>
      </c>
      <c r="M25" s="297">
        <f>VLOOKUP($C25,punten_rijder,11,0)+VLOOKUP($C25,snelste_ronde,11,0)</f>
        <v>0</v>
      </c>
      <c r="N25" s="297">
        <f>VLOOKUP($C25,punten_rijder,12,0)+VLOOKUP($C25,snelste_ronde,12,0)</f>
        <v>6</v>
      </c>
      <c r="O25" s="297">
        <f>VLOOKUP($C25,punten_rijder,13,0)+VLOOKUP($C25,snelste_ronde,13,0)</f>
        <v>0</v>
      </c>
      <c r="P25" s="297">
        <f>VLOOKUP($C25,punten_rijder,14,0)+VLOOKUP($C25,snelste_ronde,14,0)</f>
        <v>0</v>
      </c>
      <c r="Q25" s="297">
        <f>VLOOKUP($C25,punten_rijder,15,0)+VLOOKUP($C25,snelste_ronde,15,0)</f>
        <v>0</v>
      </c>
      <c r="R25" s="297">
        <f>VLOOKUP($C25,punten_rijder,16,0)+VLOOKUP($C25,snelste_ronde,16,0)</f>
        <v>0</v>
      </c>
      <c r="S25" s="297">
        <f>VLOOKUP($C25,punten_rijder,17,0)+VLOOKUP($C25,snelste_ronde,17,0)</f>
        <v>0</v>
      </c>
      <c r="T25" s="297">
        <f>VLOOKUP($C25,punten_rijder,18,0)+VLOOKUP($C25,snelste_ronde,18,0)</f>
        <v>0</v>
      </c>
      <c r="U25" s="297">
        <f>VLOOKUP($C25,punten_rijder,19,0)+VLOOKUP($C25,snelste_ronde,19,0)</f>
        <v>0</v>
      </c>
      <c r="V25" s="297">
        <f>VLOOKUP($C25,punten_rijder,20,0)+VLOOKUP($C25,snelste_ronde,20,0)</f>
        <v>0</v>
      </c>
      <c r="W25" s="297">
        <f>VLOOKUP($C25,punten_rijder,21,0)+VLOOKUP($C25,snelste_ronde,21,0)</f>
        <v>0</v>
      </c>
      <c r="X25" s="297">
        <f>VLOOKUP($C25,punten_rijder,22,0)+VLOOKUP($C25,snelste_ronde,22,0)</f>
        <v>0</v>
      </c>
      <c r="Y25" s="297">
        <f>SUM(D25:X25)</f>
        <v>8</v>
      </c>
      <c r="Z25" s="547"/>
      <c r="AA25" s="288">
        <f t="shared" si="0"/>
        <v>17</v>
      </c>
      <c r="AB25" s="298" t="str">
        <f t="shared" si="3"/>
        <v>¬</v>
      </c>
      <c r="AD25" s="548">
        <f t="shared" si="1"/>
        <v>1</v>
      </c>
      <c r="AE25" s="548"/>
      <c r="AF25" s="548"/>
      <c r="AH25" s="296" t="s">
        <v>349</v>
      </c>
      <c r="AI25" s="550">
        <v>17</v>
      </c>
      <c r="AK25" s="297">
        <f t="shared" si="4"/>
        <v>10</v>
      </c>
      <c r="AO25" s="545"/>
      <c r="AP25" s="553" t="s">
        <v>365</v>
      </c>
      <c r="AQ25" s="554">
        <f>IF(Blad1!$AC$2="D. Kvyat",25,0)+IF(Blad1!$AH$2="D. Kvyat",18,0)+IF(Blad1!$AM$2="D. Kvyat",15,0)+IF(Blad1!$AR$2="D. Kvyat",12,0)+IF(Blad1!$AW$2="D. Kvyat",10,0)+IF(Blad1!$BB$2="D. Kvyat",8,0)+IF(Blad1!$BG$2="D. Kvyat",6,0)+IF(Blad1!$BL$2="D. Kvyat",4,0)+IF(Blad1!$BQ$2="D. Kvyat",2,0)+IF(Blad1!$BV$2="D. Kvyat",1,0)</f>
        <v>1</v>
      </c>
      <c r="AR25" s="555">
        <f>IF(Blad1!$AC$3="D. Kvyat",25,0)+IF(Blad1!$AH$3="D. Kvyat",18,0)+IF(Blad1!$AM$3="D. Kvyat",15,0)+IF(Blad1!$AR$3="D. Kvyat",12,0)+IF(Blad1!$AW$3="D. Kvyat",10,0)+IF(Blad1!$BB$3="D. Kvyat",8,0)+IF(Blad1!$BG$3="D. Kvyat",6,0)+IF(Blad1!$BL$3="D. Kvyat",4,0)+IF(Blad1!$BQ$3="D. Kvyat",2,0)+IF(Blad1!$BV$3="D. Kvyat",1,0)</f>
        <v>0</v>
      </c>
      <c r="AS25" s="555">
        <f>IF(Blad1!$AC$4="D. Kvyat",25,0)+IF(Blad1!$AH$4="D. Kvyat",18,0)+IF(Blad1!$AM$4="D. Kvyat",15,0)+IF(Blad1!$AR$4="D. Kvyat",12,0)+IF(Blad1!$AW$4="D. Kvyat",10,0)+IF(Blad1!$BB$4="D. Kvyat",8,0)+IF(Blad1!$BG$4="D. Kvyat",6,0)+IF(Blad1!$BL$4="D. Kvyat",4,0)+IF(Blad1!$BQ$4="D. Kvyat",2,0)+IF(Blad1!$BV$4="D. Kvyat",1,0)</f>
        <v>0</v>
      </c>
      <c r="AT25" s="555">
        <f>IF(Blad1!$AC$5="D. Kvyat",25,0)+IF(Blad1!$AH$5="D. Kvyat",18,0)+IF(Blad1!$AM$5="D. Kvyat",15,0)+IF(Blad1!$AR$5="D. Kvyat",12,0)+IF(Blad1!$AW$5="D. Kvyat",10,0)+IF(Blad1!$BB$5="D. Kvyat",8,0)+IF(Blad1!$BG$5="D. Kvyat",6,0)+IF(Blad1!$BL$5="D. Kvyat",4,0)+IF(Blad1!$BQ$5="D. Kvyat",2,0)+IF(Blad1!$BV$5="D. Kvyat",1,0)</f>
        <v>0</v>
      </c>
      <c r="AU25" s="555">
        <f>IF(Blad1!$AC$6="D. Kvyat",25,0)+IF(Blad1!$AH$6="D. Kvyat",18,0)+IF(Blad1!$AM$6="D. Kvyat",15,0)+IF(Blad1!$AR$6="D. Kvyat",12,0)+IF(Blad1!$AW$6="D. Kvyat",10,0)+IF(Blad1!$BB$6="D. Kvyat",8,0)+IF(Blad1!$BG$6="D. Kvyat",6,0)+IF(Blad1!$BL$6="D. Kvyat",4,0)+IF(Blad1!$BQ$6="D. Kvyat",2,0)+IF(Blad1!$BV$6="D. Kvyat",1,0)</f>
        <v>2</v>
      </c>
      <c r="AV25" s="555">
        <f>IF(Blad1!$AC$7="D. Kvyat",25,0)+IF(Blad1!$AH$7="D. Kvyat",18,0)+IF(Blad1!$AM$7="D. Kvyat",15,0)+IF(Blad1!$AR$7="D. Kvyat",12,0)+IF(Blad1!$AW$7="D. Kvyat",10,0)+IF(Blad1!$BB$7="D. Kvyat",8,0)+IF(Blad1!$BG$7="D. Kvyat",6,0)+IF(Blad1!$BL$7="D. Kvyat",4,0)+IF(Blad1!$BQ$7="D. Kvyat",2,0)+IF(Blad1!$BV$7="D. Kvyat",1,0)</f>
        <v>6</v>
      </c>
      <c r="AW25" s="555">
        <f>IF(Blad1!$AC$8="D. Kvyat",25,0)+IF(Blad1!$AH$8="D. Kvyat",18,0)+IF(Blad1!$AM$8="D. Kvyat",15,0)+IF(Blad1!$AR$8="D. Kvyat",12,0)+IF(Blad1!$AW$8="D. Kvyat",10,0)+IF(Blad1!$BB$8="D. Kvyat",8,0)+IF(Blad1!$BG$8="D. Kvyat",6,0)+IF(Blad1!$BL$8="D. Kvyat",4,0)+IF(Blad1!$BQ$8="D. Kvyat",2,0)+IF(Blad1!$BV$8="D. Kvyat",1,0)</f>
        <v>1</v>
      </c>
      <c r="AX25" s="555">
        <f>IF(Blad1!$AC$9="D. Kvyat",25,0)+IF(Blad1!$AH$9="D. Kvyat",18,0)+IF(Blad1!$AM$9="D. Kvyat",15,0)+IF(Blad1!$AR$9="D. Kvyat",12,0)+IF(Blad1!$AW$9="D. Kvyat",10,0)+IF(Blad1!$BB$9="D. Kvyat",8,0)+IF(Blad1!$BG$9="D. Kvyat",6,0)+IF(Blad1!$BL$9="D. Kvyat",4,0)+IF(Blad1!$BQ$9="D. Kvyat",2,0)+IF(Blad1!$BV$9="D. Kvyat",1,0)</f>
        <v>0</v>
      </c>
      <c r="AY25" s="555">
        <f>IF(Blad1!$AC$10="D. Kvyat",25,0)+IF(Blad1!$AH$10="D. Kvyat",18,0)+IF(Blad1!$AM$10="D. Kvyat",15,0)+IF(Blad1!$AR$10="D. Kvyat",12,0)+IF(Blad1!$AW$10="D. Kvyat",10,0)+IF(Blad1!$BB$10="D. Kvyat",8,0)+IF(Blad1!$BG$10="D. Kvyat",6,0)+IF(Blad1!$BL$10="D. Kvyat",4,0)+IF(Blad1!$BQ$10="D. Kvyat",2,0)+IF(Blad1!$BV$10="D. Kvyat",1,0)</f>
        <v>0</v>
      </c>
      <c r="AZ25" s="555">
        <f>IF(Blad1!$AC$11="D. Kvyat",25,0)+IF(Blad1!$AH$11="D. Kvyat",18,0)+IF(Blad1!$AM$11="D. Kvyat",15,0)+IF(Blad1!$AR$11="D. Kvyat",12,0)+IF(Blad1!$AW$11="D. Kvyat",10,0)+IF(Blad1!$BB$11="D. Kvyat",8,0)+IF(Blad1!$BG$11="D. Kvyat",6,0)+IF(Blad1!$BL$11="D. Kvyat",4,0)+IF(Blad1!$BQ$11="D. Kvyat",2,0)+IF(Blad1!$BV$11="D. Kvyat",1,0)</f>
        <v>2</v>
      </c>
      <c r="BA25" s="555">
        <f>IF(Blad1!$AC$12="D. Kvyat",25,0)+IF(Blad1!$AH$12="D. Kvyat",18,0)+IF(Blad1!$AM$12="D. Kvyat",15,0)+IF(Blad1!$AR$12="D. Kvyat",12,0)+IF(Blad1!$AW$12="D. Kvyat",10,0)+IF(Blad1!$BB$12="D. Kvyat",8,0)+IF(Blad1!$BG$12="D. Kvyat",6,0)+IF(Blad1!$BL$12="D. Kvyat",4,0)+IF(Blad1!$BQ$12="D. Kvyat",2,0)+IF(Blad1!$BV$12="D. Kvyat",1,0)</f>
        <v>15</v>
      </c>
      <c r="BB25" s="555">
        <f>IF(Blad1!$AC$13="D. Kvyat",25,0)+IF(Blad1!$AH$13="D. Kvyat",18,0)+IF(Blad1!$AM$13="D. Kvyat",15,0)+IF(Blad1!$AR$13="D. Kvyat",12,0)+IF(Blad1!$AW$13="D. Kvyat",10,0)+IF(Blad1!$BB$13="D. Kvyat",8,0)+IF(Blad1!$BG$13="D. Kvyat",6,0)+IF(Blad1!$BL$13="D. Kvyat",4,0)+IF(Blad1!$BQ$13="D. Kvyat",2,0)+IF(Blad1!$BV$13="D. Kvyat",1,0)</f>
        <v>0</v>
      </c>
      <c r="BC25" s="555">
        <f>IF(Blad1!$AC$14="D. Kvyat",25,0)+IF(Blad1!$AH$14="D. Kvyat",18,0)+IF(Blad1!$AM$14="D. Kvyat",15,0)+IF(Blad1!$AR$14="D. Kvyat",12,0)+IF(Blad1!$AW$14="D. Kvyat",10,0)+IF(Blad1!$BB$14="D. Kvyat",8,0)+IF(Blad1!$BG$14="D. Kvyat",6,0)+IF(Blad1!$BL$14="D. Kvyat",4,0)+IF(Blad1!$BQ$14="D. Kvyat",2,0)+IF(Blad1!$BV$14="D. Kvyat",1,0)</f>
        <v>6</v>
      </c>
      <c r="BD25" s="555">
        <f>IF(Blad1!$AC$15="D. Kvyat",25,0)+IF(Blad1!$AH$15="D. Kvyat",18,0)+IF(Blad1!$AM$15="D. Kvyat",15,0)+IF(Blad1!$AR$15="D. Kvyat",12,0)+IF(Blad1!$AW$15="D. Kvyat",10,0)+IF(Blad1!$BB$15="D. Kvyat",8,0)+IF(Blad1!$BG$15="D. Kvyat",6,0)+IF(Blad1!$BL$15="D. Kvyat",4,0)+IF(Blad1!$BQ$15="D. Kvyat",2,0)+IF(Blad1!$BV$15="D. Kvyat",1,0)</f>
        <v>0</v>
      </c>
      <c r="BE25" s="555">
        <f>IF(Blad1!$AC$16="D. Kvyat",25,0)+IF(Blad1!$AH$16="D. Kvyat",18,0)+IF(Blad1!$AM$16="D. Kvyat",15,0)+IF(Blad1!$AR$16="D. Kvyat",12,0)+IF(Blad1!$AW$16="D. Kvyat",10,0)+IF(Blad1!$BB$16="D. Kvyat",8,0)+IF(Blad1!$BG$16="D. Kvyat",6,0)+IF(Blad1!$BL$16="D. Kvyat",4,0)+IF(Blad1!$BQ$16="D. Kvyat",2,0)+IF(Blad1!$BV$16="D. Kvyat",1,0)</f>
        <v>0</v>
      </c>
      <c r="BF25" s="555">
        <f>IF(Blad1!$AC$17="D. Kvyat",25,0)+IF(Blad1!$AH$17="D. Kvyat",18,0)+IF(Blad1!$AM$17="D. Kvyat",15,0)+IF(Blad1!$AR$17="D. Kvyat",12,0)+IF(Blad1!$AW$17="D. Kvyat",10,0)+IF(Blad1!$BB$17="D. Kvyat",8,0)+IF(Blad1!$BG$17="D. Kvyat",6,0)+IF(Blad1!$BL$17="D. Kvyat",4,0)+IF(Blad1!$BQ$17="D. Kvyat",2,0)+IF(Blad1!$BV$17="D. Kvyat",1,0)</f>
        <v>0</v>
      </c>
      <c r="BG25" s="555">
        <f>IF(Blad1!$AC$18="D. Kvyat",25,0)+IF(Blad1!$AH$18="D. Kvyat",18,0)+IF(Blad1!$AM$18="D. Kvyat",15,0)+IF(Blad1!$AR$18="D. Kvyat",12,0)+IF(Blad1!$AW$18="D. Kvyat",10,0)+IF(Blad1!$BB$18="D. Kvyat",8,0)+IF(Blad1!$BG$18="D. Kvyat",6,0)+IF(Blad1!$BL$18="D. Kvyat",4,0)+IF(Blad1!$BQ$18="D. Kvyat",2,0)+IF(Blad1!$BV$18="D. Kvyat",1,0)</f>
        <v>0</v>
      </c>
      <c r="BH25" s="555">
        <f>IF(Blad1!$AC$19="D. Kvyat",25,0)+IF(Blad1!$AH$19="D. Kvyat",18,0)+IF(Blad1!$AM$19="D. Kvyat",15,0)+IF(Blad1!$AR$19="D. Kvyat",12,0)+IF(Blad1!$AW$19="D. Kvyat",10,0)+IF(Blad1!$BB$19="D. Kvyat",8,0)+IF(Blad1!$BG$19="D. Kvyat",6,0)+IF(Blad1!$BL$19="D. Kvyat",4,0)+IF(Blad1!$BQ$19="D. Kvyat",2,0)+IF(Blad1!$BV$19="D. Kvyat",1,0)</f>
        <v>0</v>
      </c>
      <c r="BI25" s="555">
        <f>IF(Blad1!$AC$20="D. Kvyat",25,0)+IF(Blad1!$AH$20="D. Kvyat",18,0)+IF(Blad1!$AM$20="D. Kvyat",15,0)+IF(Blad1!$AR$20="D. Kvyat",12,0)+IF(Blad1!$AW$20="D. Kvyat",10,0)+IF(Blad1!$BB$20="D. Kvyat",8,0)+IF(Blad1!$BG$20="D. Kvyat",6,0)+IF(Blad1!$BL$20="D. Kvyat",4,0)+IF(Blad1!$BQ$20="D. Kvyat",2,0)+IF(Blad1!$BV$20="D. Kvyat",1,0)</f>
        <v>0</v>
      </c>
      <c r="BJ25" s="556">
        <f>IF(Blad1!$AC$21="D. Kvyat",25,0)+IF(Blad1!$AH$21="D. Kvyat",18,0)+IF(Blad1!$AM$21="D. Kvyat",15,0)+IF(Blad1!$AR$21="D. Kvyat",12,0)+IF(Blad1!$AW$21="D. Kvyat",10,0)+IF(Blad1!$BB$21="D. Kvyat",8,0)+IF(Blad1!$BG$21="D. Kvyat",6,0)+IF(Blad1!$BL$21="D. Kvyat",4,0)+IF(Blad1!$BQ$21="D. Kvyat",2,0)+IF(Blad1!$BV$21="D. Kvyat",1,0)</f>
        <v>0</v>
      </c>
      <c r="BK25" s="556">
        <f>IF(Blad1!$AC$22="D. Kvyat",25,0)+IF(Blad1!$AH$22="D. Kvyat",18,0)+IF(Blad1!$AM$22="D. Kvyat",15,0)+IF(Blad1!$AR$22="D. Kvyat",12,0)+IF(Blad1!$AW$22="D. Kvyat",10,0)+IF(Blad1!$BB$22="D. Kvyat",8,0)+IF(Blad1!$BG$22="D. Kvyat",6,0)+IF(Blad1!$BL$22="D. Kvyat",4,0)+IF(Blad1!$BQ$22="D. Kvyat",2,0)+IF(Blad1!$BV$22="D. Kvyat",1,0)</f>
        <v>0</v>
      </c>
      <c r="BL25" s="557">
        <f t="shared" si="5"/>
        <v>33</v>
      </c>
      <c r="BN25" s="762" t="s">
        <v>356</v>
      </c>
      <c r="BO25" s="759">
        <f t="shared" ref="BO25" si="152">AQ25+AQ26+CM25+CM26</f>
        <v>1</v>
      </c>
      <c r="BP25" s="750">
        <f t="shared" ref="BP25" si="153">AR25+AR26+CN25+CN26</f>
        <v>2</v>
      </c>
      <c r="BQ25" s="750">
        <f t="shared" ref="BQ25" si="154">AS25+AS26+CO25+CO26</f>
        <v>1</v>
      </c>
      <c r="BR25" s="750">
        <f t="shared" ref="BR25" si="155">AT25+AT26+CP25+CP26</f>
        <v>0</v>
      </c>
      <c r="BS25" s="750">
        <f t="shared" ref="BS25" si="156">AU25+AU26+CQ25+CQ26</f>
        <v>2</v>
      </c>
      <c r="BT25" s="750">
        <f t="shared" ref="BT25" si="157">AV25+AV26+CR25+CR26</f>
        <v>10</v>
      </c>
      <c r="BU25" s="750">
        <f t="shared" ref="BU25" si="158">AW25+AW26+CS25+CS26</f>
        <v>1</v>
      </c>
      <c r="BV25" s="750">
        <f t="shared" ref="BV25" si="159">AX25+AX26+CT25+CT26</f>
        <v>0</v>
      </c>
      <c r="BW25" s="750">
        <f t="shared" ref="BW25" si="160">AY25+AY26+CU25+CU26</f>
        <v>0</v>
      </c>
      <c r="BX25" s="750">
        <f t="shared" ref="BX25" si="161">AZ25+AZ26+CV25+CV26</f>
        <v>2</v>
      </c>
      <c r="BY25" s="750">
        <f t="shared" ref="BY25" si="162">BA25+BA26+CW25+CW26</f>
        <v>23</v>
      </c>
      <c r="BZ25" s="750">
        <f t="shared" ref="BZ25" si="163">BB25+BB26+CX25+CX26</f>
        <v>1</v>
      </c>
      <c r="CA25" s="752">
        <f>BC25+BC14+CY25+CY14</f>
        <v>8</v>
      </c>
      <c r="CB25" s="752">
        <f t="shared" ref="CB25:CI25" si="164">BD25+BD14+CZ25+CZ14</f>
        <v>0</v>
      </c>
      <c r="CC25" s="752">
        <f t="shared" si="164"/>
        <v>0</v>
      </c>
      <c r="CD25" s="752">
        <f t="shared" si="164"/>
        <v>0</v>
      </c>
      <c r="CE25" s="752">
        <f t="shared" si="164"/>
        <v>0</v>
      </c>
      <c r="CF25" s="752">
        <f t="shared" si="164"/>
        <v>0</v>
      </c>
      <c r="CG25" s="752">
        <f t="shared" si="164"/>
        <v>0</v>
      </c>
      <c r="CH25" s="752">
        <f t="shared" si="164"/>
        <v>0</v>
      </c>
      <c r="CI25" s="779">
        <f t="shared" si="164"/>
        <v>0</v>
      </c>
      <c r="CJ25" s="753">
        <f t="shared" ref="CJ25" si="165">SUM(BO25:CH26)</f>
        <v>51</v>
      </c>
      <c r="CL25" s="569" t="s">
        <v>365</v>
      </c>
      <c r="CM25" s="611">
        <f>IF(Blad1!Z$2=$CL25,1)*Blad1!EJ$2</f>
        <v>0</v>
      </c>
      <c r="CN25" s="609">
        <f>IF(Blad1!Z$3=$CL25,1)*Blad1!EJ$3</f>
        <v>0</v>
      </c>
      <c r="CO25" s="609">
        <f>IF(Blad1!Z$4=$CL25,1)*Blad1!EJ$4</f>
        <v>0</v>
      </c>
      <c r="CP25" s="609">
        <f>IF(Blad1!Z$5=$CL25,1)*Blad1!EJ$5</f>
        <v>0</v>
      </c>
      <c r="CQ25" s="609">
        <f>IF(Blad1!Z$6=$CL25,1)*Blad1!EJ$6</f>
        <v>0</v>
      </c>
      <c r="CR25" s="609">
        <f>IF(Blad1!Z$7=$CL25,1)*Blad1!EJ$7</f>
        <v>0</v>
      </c>
      <c r="CS25" s="609">
        <f>IF(Blad1!Z$8=$CL25,1)*Blad1!EJ$8</f>
        <v>0</v>
      </c>
      <c r="CT25" s="609">
        <f>IF(Blad1!Z$9=$CL25,1)*Blad1!EJ$9</f>
        <v>0</v>
      </c>
      <c r="CU25" s="609">
        <f>IF(Blad1!Z$10=$CL25,1)*Blad1!EJ$10</f>
        <v>0</v>
      </c>
      <c r="CV25" s="609">
        <f>IF(Blad1!Z$11=$CL25,1)*Blad1!EJ$11</f>
        <v>0</v>
      </c>
      <c r="CW25" s="609">
        <f>IF(Blad1!Z$12=$CL25,1)*Blad1!EJ$12</f>
        <v>0</v>
      </c>
      <c r="CX25" s="609">
        <f>IF(Blad1!Z$13=$CL25,1)*Blad1!EJ$13</f>
        <v>0</v>
      </c>
      <c r="CY25" s="609">
        <f>IF(Blad1!Z$14=$CL25,1)*Blad1!EJ$14</f>
        <v>0</v>
      </c>
      <c r="CZ25" s="609">
        <f>IF(Blad1!Z$15=$CL25,1)*Blad1!EJ$15</f>
        <v>0</v>
      </c>
      <c r="DA25" s="609">
        <f>IF(Blad1!Z$16=$CL25,1)*Blad1!EJ$16</f>
        <v>0</v>
      </c>
      <c r="DB25" s="609">
        <f>IF(Blad1!Z$17=$CL25,1)*Blad1!EJ$17</f>
        <v>0</v>
      </c>
      <c r="DC25" s="609">
        <f>IF(Blad1!Z$18=$CL25,1)*Blad1!EJ$18</f>
        <v>0</v>
      </c>
      <c r="DD25" s="609">
        <f>IF(Blad1!Z$19=$CL25,1)*Blad1!EJ$19</f>
        <v>0</v>
      </c>
      <c r="DE25" s="609">
        <f>IF(Blad1!Z$20=$CL25,1)*Blad1!EJ$20</f>
        <v>0</v>
      </c>
      <c r="DF25" s="609">
        <f>IF(Blad1!Z$21=$CL25,1)*Blad1!EJ$21</f>
        <v>0</v>
      </c>
      <c r="DG25" s="649">
        <f>IF(Blad1!Z$22=$CL25,1)*Blad1!EJ$22</f>
        <v>0</v>
      </c>
      <c r="DH25" s="652">
        <f t="shared" si="6"/>
        <v>0</v>
      </c>
    </row>
    <row r="26" spans="2:112" ht="15" customHeight="1" x14ac:dyDescent="0.2">
      <c r="B26" s="293">
        <v>18</v>
      </c>
      <c r="C26" s="296" t="s">
        <v>497</v>
      </c>
      <c r="D26" s="297">
        <f>VLOOKUP($C26,punten_rijder,2,0)+VLOOKUP($C26,snelste_ronde,2,0)</f>
        <v>0</v>
      </c>
      <c r="E26" s="297">
        <f>VLOOKUP($C26,punten_rijder,3,0)+VLOOKUP($C26,snelste_ronde,3,0)</f>
        <v>0</v>
      </c>
      <c r="F26" s="297">
        <f>VLOOKUP($C26,punten_rijder,4,0)+VLOOKUP($C26,snelste_ronde,4,0)</f>
        <v>0</v>
      </c>
      <c r="G26" s="297">
        <f>VLOOKUP($C26,punten_rijder,5,0)+VLOOKUP($C26,snelste_ronde,5,0)</f>
        <v>0</v>
      </c>
      <c r="H26" s="297">
        <f>VLOOKUP($C26,punten_rijder,6,0)+VLOOKUP($C26,snelste_ronde,6,0)</f>
        <v>0</v>
      </c>
      <c r="I26" s="297">
        <f>VLOOKUP($C26,punten_rijder,7,0)+VLOOKUP($C26,snelste_ronde,7,0)</f>
        <v>0</v>
      </c>
      <c r="J26" s="297">
        <f>VLOOKUP($C26,punten_rijder,8,0)+VLOOKUP($C26,snelste_ronde,8,0)</f>
        <v>0</v>
      </c>
      <c r="K26" s="297">
        <f>VLOOKUP($C26,punten_rijder,9,0)+VLOOKUP($C26,snelste_ronde,9,0)</f>
        <v>0</v>
      </c>
      <c r="L26" s="297">
        <f>VLOOKUP($C26,punten_rijder,10,0)+VLOOKUP($C26,snelste_ronde,10,0)</f>
        <v>1</v>
      </c>
      <c r="M26" s="297">
        <f>VLOOKUP($C26,punten_rijder,11,0)+VLOOKUP($C26,snelste_ronde,11,0)</f>
        <v>0</v>
      </c>
      <c r="N26" s="297">
        <f>VLOOKUP($C26,punten_rijder,12,0)+VLOOKUP($C26,snelste_ronde,12,0)</f>
        <v>0</v>
      </c>
      <c r="O26" s="297">
        <f>VLOOKUP($C26,punten_rijder,13,0)+VLOOKUP($C26,snelste_ronde,13,0)</f>
        <v>0</v>
      </c>
      <c r="P26" s="297">
        <f>VLOOKUP($C26,punten_rijder,14,0)+VLOOKUP($C26,snelste_ronde,14,0)</f>
        <v>0</v>
      </c>
      <c r="Q26" s="297">
        <f>VLOOKUP($C26,punten_rijder,15,0)+VLOOKUP($C26,snelste_ronde,15,0)</f>
        <v>2</v>
      </c>
      <c r="R26" s="297">
        <f>VLOOKUP($C26,punten_rijder,16,0)+VLOOKUP($C26,snelste_ronde,16,0)</f>
        <v>0</v>
      </c>
      <c r="S26" s="297">
        <f>VLOOKUP($C26,punten_rijder,17,0)+VLOOKUP($C26,snelste_ronde,17,0)</f>
        <v>0</v>
      </c>
      <c r="T26" s="297">
        <f>VLOOKUP($C26,punten_rijder,18,0)+VLOOKUP($C26,snelste_ronde,18,0)</f>
        <v>0</v>
      </c>
      <c r="U26" s="297">
        <f>VLOOKUP($C26,punten_rijder,19,0)+VLOOKUP($C26,snelste_ronde,19,0)</f>
        <v>0</v>
      </c>
      <c r="V26" s="297">
        <f>VLOOKUP($C26,punten_rijder,20,0)+VLOOKUP($C26,snelste_ronde,20,0)</f>
        <v>0</v>
      </c>
      <c r="W26" s="297">
        <f>VLOOKUP($C26,punten_rijder,21,0)+VLOOKUP($C26,snelste_ronde,21,0)</f>
        <v>0</v>
      </c>
      <c r="X26" s="297">
        <f>VLOOKUP($C26,punten_rijder,22,0)+VLOOKUP($C26,snelste_ronde,22,0)</f>
        <v>0</v>
      </c>
      <c r="Y26" s="297">
        <f>SUM(D26:X26)</f>
        <v>3</v>
      </c>
      <c r="Z26" s="547"/>
      <c r="AA26" s="288">
        <f t="shared" si="0"/>
        <v>18</v>
      </c>
      <c r="AB26" s="298" t="str">
        <f t="shared" si="3"/>
        <v>¬</v>
      </c>
      <c r="AD26" s="548">
        <f t="shared" si="1"/>
        <v>1</v>
      </c>
      <c r="AE26" s="548"/>
      <c r="AF26" s="548"/>
      <c r="AH26" s="296" t="s">
        <v>497</v>
      </c>
      <c r="AI26" s="550">
        <v>18</v>
      </c>
      <c r="AK26" s="297">
        <f t="shared" si="4"/>
        <v>5</v>
      </c>
      <c r="AO26" s="545"/>
      <c r="AP26" s="553" t="s">
        <v>542</v>
      </c>
      <c r="AQ26" s="554">
        <f>IF(Blad1!$AC$2="A. Albon",25,0)+IF(Blad1!$AH$2="A. Albon",18,0)+IF(Blad1!$AM$2="A. Albon",15,0)+IF(Blad1!$AR$2="A. Albon",12,0)+IF(Blad1!$AW$2="A. Albon",10,0)+IF(Blad1!$BB$2="A. Albon",8,0)+IF(Blad1!$BG$2="A. Albon",6,0)+IF(Blad1!$BL$2="A. Albon",4,0)+IF(Blad1!$BQ$2="A. Albon",2,0)+IF(Blad1!$BV$2="A. Albon",1,0)</f>
        <v>0</v>
      </c>
      <c r="AR26" s="555">
        <f>IF(Blad1!$AC$3="A. Albon",25,0)+IF(Blad1!$AH$3="A. Albon",18,0)+IF(Blad1!$AM$3="A. Albon",15,0)+IF(Blad1!$AR$3="A. Albon",12,0)+IF(Blad1!$AW$3="A. Albon",10,0)+IF(Blad1!$BB$3="A. Albon",8,0)+IF(Blad1!$BG$3="A. Albon",6,0)+IF(Blad1!$BL$3="A. Albon",4,0)+IF(Blad1!$BQ$3="A. Albon",2,0)+IF(Blad1!$BV$3="A. Albon",1,0)</f>
        <v>2</v>
      </c>
      <c r="AS26" s="555">
        <f>IF(Blad1!$AC$4="A. Albon",25,0)+IF(Blad1!$AH$4="A. Albon",18,0)+IF(Blad1!$AM$4="A. Albon",15,0)+IF(Blad1!$AR$4="A. Albon",12,0)+IF(Blad1!$AW$4="A. Albon",10,0)+IF(Blad1!$BB$4="A. Albon",8,0)+IF(Blad1!$BG$4="A. Albon",6,0)+IF(Blad1!$BL$4="A. Albon",4,0)+IF(Blad1!$BQ$4="A. Albon",2,0)+IF(Blad1!$BV$4="A. Albon",1,0)</f>
        <v>1</v>
      </c>
      <c r="AT26" s="555">
        <f>IF(Blad1!$AC$5="A. Albon",25,0)+IF(Blad1!$AH$5="A. Albon",18,0)+IF(Blad1!$AM$5="A. Albon",15,0)+IF(Blad1!$AR$5="A. Albon",12,0)+IF(Blad1!$AW$5="A. Albon",10,0)+IF(Blad1!$BB$5="A. Albon",8,0)+IF(Blad1!$BG$5="A. Albon",6,0)+IF(Blad1!$BL$5="A. Albon",4,0)+IF(Blad1!$BQ$5="A. Albon",2,0)+IF(Blad1!$BV$5="A. Albon",1,0)</f>
        <v>0</v>
      </c>
      <c r="AU26" s="555">
        <f>IF(Blad1!$AC$6="A. Albon",25,0)+IF(Blad1!$AH$6="A. Albon",18,0)+IF(Blad1!$AM$6="A. Albon",15,0)+IF(Blad1!$AR$6="A. Albon",12,0)+IF(Blad1!$AW$6="A. Albon",10,0)+IF(Blad1!$BB$6="A. Albon",8,0)+IF(Blad1!$BG$6="A. Albon",6,0)+IF(Blad1!$BL$6="A. Albon",4,0)+IF(Blad1!$BQ$6="A. Albon",2,0)+IF(Blad1!$BV$6="A. Albon",1,0)</f>
        <v>0</v>
      </c>
      <c r="AV26" s="555">
        <f>IF(Blad1!$AC$7="A. Albon",25,0)+IF(Blad1!$AH$7="A. Albon",18,0)+IF(Blad1!$AM$7="A. Albon",15,0)+IF(Blad1!$AR$7="A. Albon",12,0)+IF(Blad1!$AW$7="A. Albon",10,0)+IF(Blad1!$BB$7="A. Albon",8,0)+IF(Blad1!$BG$7="A. Albon",6,0)+IF(Blad1!$BL$7="A. Albon",4,0)+IF(Blad1!$BQ$7="A. Albon",2,0)+IF(Blad1!$BV$7="A. Albon",1,0)</f>
        <v>4</v>
      </c>
      <c r="AW26" s="555">
        <f>IF(Blad1!$AC$8="A. Albon",25,0)+IF(Blad1!$AH$8="A. Albon",18,0)+IF(Blad1!$AM$8="A. Albon",15,0)+IF(Blad1!$AR$8="A. Albon",12,0)+IF(Blad1!$AW$8="A. Albon",10,0)+IF(Blad1!$BB$8="A. Albon",8,0)+IF(Blad1!$BG$8="A. Albon",6,0)+IF(Blad1!$BL$8="A. Albon",4,0)+IF(Blad1!$BQ$8="A. Albon",2,0)+IF(Blad1!$BV$8="A. Albon",1,0)</f>
        <v>0</v>
      </c>
      <c r="AX26" s="555">
        <f>IF(Blad1!$AC$9="A. Albon",25,0)+IF(Blad1!$AH$9="A. Albon",18,0)+IF(Blad1!$AM$9="A. Albon",15,0)+IF(Blad1!$AR$9="A. Albon",12,0)+IF(Blad1!$AW$9="A. Albon",10,0)+IF(Blad1!$BB$9="A. Albon",8,0)+IF(Blad1!$BG$9="A. Albon",6,0)+IF(Blad1!$BL$9="A. Albon",4,0)+IF(Blad1!$BQ$9="A. Albon",2,0)+IF(Blad1!$BV$9="A. Albon",1,0)</f>
        <v>0</v>
      </c>
      <c r="AY26" s="555">
        <f>IF(Blad1!$AC$10="A. Albon",25,0)+IF(Blad1!$AH$10="A. Albon",18,0)+IF(Blad1!$AM$10="A. Albon",15,0)+IF(Blad1!$AR$10="A. Albon",12,0)+IF(Blad1!$AW$10="A. Albon",10,0)+IF(Blad1!$BB$10="A. Albon",8,0)+IF(Blad1!$BG$10="A. Albon",6,0)+IF(Blad1!$BL$10="A. Albon",4,0)+IF(Blad1!$BQ$10="A. Albon",2,0)+IF(Blad1!$BV$10="A. Albon",1,0)</f>
        <v>0</v>
      </c>
      <c r="AZ26" s="555">
        <f>IF(Blad1!$AC$11="A. Albon",25,0)+IF(Blad1!$AH$11="A. Albon",18,0)+IF(Blad1!$AM$11="A. Albon",15,0)+IF(Blad1!$AR$11="A. Albon",12,0)+IF(Blad1!$AW$11="A. Albon",10,0)+IF(Blad1!$BB$11="A. Albon",8,0)+IF(Blad1!$BG$11="A. Albon",6,0)+IF(Blad1!$BL$11="A. Albon",4,0)+IF(Blad1!$BQ$11="A. Albon",2,0)+IF(Blad1!$BV$11="A. Albon",1,0)</f>
        <v>0</v>
      </c>
      <c r="BA26" s="555">
        <f>IF(Blad1!$AC$12="A. Albon",25,0)+IF(Blad1!$AH$12="A. Albon",18,0)+IF(Blad1!$AM$12="A. Albon",15,0)+IF(Blad1!$AR$12="A. Albon",12,0)+IF(Blad1!$AW$12="A. Albon",10,0)+IF(Blad1!$BB$12="A. Albon",8,0)+IF(Blad1!$BG$12="A. Albon",6,0)+IF(Blad1!$BL$12="A. Albon",4,0)+IF(Blad1!$BQ$12="A. Albon",2,0)+IF(Blad1!$BV$12="A. Albon",1,0)</f>
        <v>8</v>
      </c>
      <c r="BB26" s="555">
        <f>IF(Blad1!$AC$13="A. Albon",25,0)+IF(Blad1!$AH$13="A. Albon",18,0)+IF(Blad1!$AM$13="A. Albon",15,0)+IF(Blad1!$AR$13="A. Albon",12,0)+IF(Blad1!$AW$13="A. Albon",10,0)+IF(Blad1!$BB$13="A. Albon",8,0)+IF(Blad1!$BG$13="A. Albon",6,0)+IF(Blad1!$BL$13="A. Albon",4,0)+IF(Blad1!$BQ$13="A. Albon",2,0)+IF(Blad1!$BV$13="A. Albon",1,0)</f>
        <v>1</v>
      </c>
      <c r="BC26" s="695">
        <f>IF(Blad1!$AC$14="A. Albon¹",25,0)+IF(Blad1!$AH$14="A. Albon¹",18,0)+IF(Blad1!$AM$14="A. Albon¹",15,0)+IF(Blad1!$AR$14="A. Albon¹",12,0)+IF(Blad1!$AW$14="A. Albon¹",10,0)+IF(Blad1!$BB$14="A. Albon¹",8,0)+IF(Blad1!$BG$14="A. Albon¹",6,0)+IF(Blad1!$BL$14="A. Albon¹",4,0)+IF(Blad1!$BQ$14="A. Albon¹",2,0)+IF(Blad1!$BV$14="A. Albon¹",1,0)</f>
        <v>10</v>
      </c>
      <c r="BD26" s="695">
        <f>IF(Blad1!$AC$15="A. Albon¹",25,0)+IF(Blad1!$AH$15="A. Albon¹",18,0)+IF(Blad1!$AM$15="A. Albon¹",15,0)+IF(Blad1!$AR$15="A. Albon¹",12,0)+IF(Blad1!$AW$15="A. Albon¹",10,0)+IF(Blad1!$BB$15="A. Albon¹",8,0)+IF(Blad1!$BG$15="A. Albon¹",6,0)+IF(Blad1!$BL$15="A. Albon¹",4,0)+IF(Blad1!$BQ$15="A. Albon¹",2,0)+IF(Blad1!$BV$15="A. Albon¹",1,0)</f>
        <v>8</v>
      </c>
      <c r="BE26" s="695">
        <f>IF(Blad1!$AC$16="A. Albon¹",25,0)+IF(Blad1!$AH$16="A. Albon¹",18,0)+IF(Blad1!$AM$16="A. Albon¹",15,0)+IF(Blad1!$AR$16="A. Albon¹",12,0)+IF(Blad1!$AW$16="A. Albon¹",10,0)+IF(Blad1!$BB$16="A. Albon¹",8,0)+IF(Blad1!$BG$16="A. Albon¹",6,0)+IF(Blad1!$BL$16="A. Albon¹",4,0)+IF(Blad1!$BQ$16="A. Albon¹",2,0)+IF(Blad1!$BV$16="A. Albon¹",1,0)</f>
        <v>0</v>
      </c>
      <c r="BF26" s="695">
        <f>IF(Blad1!$AC$17="A. Albon¹",25,0)+IF(Blad1!$AH$17="A. Albon¹",18,0)+IF(Blad1!$AM$17="A. Albon¹",15,0)+IF(Blad1!$AR$17="A. Albon¹",12,0)+IF(Blad1!$AW$17="A. Albon¹",10,0)+IF(Blad1!$BB$17="A. Albon¹",8,0)+IF(Blad1!$BG$17="A. Albon¹",6,0)+IF(Blad1!$BL$17="A. Albon¹",4,0)+IF(Blad1!$BQ$17="A. Albon¹",2,0)+IF(Blad1!$BV$17="A. Albon¹",1,0)</f>
        <v>0</v>
      </c>
      <c r="BG26" s="695">
        <f>IF(Blad1!$AC$18="A. Albon¹",25,0)+IF(Blad1!$AH$18="A. Albon¹",18,0)+IF(Blad1!$AM$18="A. Albon¹",15,0)+IF(Blad1!$AR$18="A. Albon¹",12,0)+IF(Blad1!$AW$18="A. Albon¹",10,0)+IF(Blad1!$BB$18="A. Albon¹",8,0)+IF(Blad1!$BG$18="A. Albon¹",6,0)+IF(Blad1!$BL$18="A. Albon¹",4,0)+IF(Blad1!$BQ$18="A. Albon¹",2,0)+IF(Blad1!$BV$18="A. Albon¹",1,0)</f>
        <v>0</v>
      </c>
      <c r="BH26" s="695">
        <f>IF(Blad1!$AC$19="A. Albon¹",25,0)+IF(Blad1!$AH$19="A. Albon¹",18,0)+IF(Blad1!$AM$19="A. Albon¹",15,0)+IF(Blad1!$AR$19="A. Albon¹",12,0)+IF(Blad1!$AW$19="A. Albon¹",10,0)+IF(Blad1!$BB$19="A. Albon¹",8,0)+IF(Blad1!$BG$19="A. Albon¹",6,0)+IF(Blad1!$BL$19="A. Albon¹",4,0)+IF(Blad1!$BQ$19="A. Albon¹",2,0)+IF(Blad1!$BV$19="A. Albon¹",1,0)</f>
        <v>0</v>
      </c>
      <c r="BI26" s="695">
        <f>IF(Blad1!$AC$20="A. Albon¹",25,0)+IF(Blad1!$AH$20="A. Albon¹",18,0)+IF(Blad1!$AM$20="A. Albon¹",15,0)+IF(Blad1!$AR$20="A. Albon¹",12,0)+IF(Blad1!$AW$20="A. Albon¹",10,0)+IF(Blad1!$BB$20="A. Albon¹",8,0)+IF(Blad1!$BG$20="A. Albon¹",6,0)+IF(Blad1!$BL$20="A. Albon¹",4,0)+IF(Blad1!$BQ$20="A. Albon¹",2,0)+IF(Blad1!$BV$20="A. Albon¹",1,0)</f>
        <v>0</v>
      </c>
      <c r="BJ26" s="696">
        <f>IF(Blad1!$AC$21="A. Albon¹",25,0)+IF(Blad1!$AH$21="A. Albon¹",18,0)+IF(Blad1!$AM$21="A. Albon¹",15,0)+IF(Blad1!$AR$21="A. Albon¹",12,0)+IF(Blad1!$AW$21="A. Albon¹",10,0)+IF(Blad1!$BB$21="A. Albon¹",8,0)+IF(Blad1!$BG$21="A. Albon¹",6,0)+IF(Blad1!$BL$21="A. Albon¹",4,0)+IF(Blad1!$BQ$21="A. Albon¹",2,0)+IF(Blad1!$BV$21="A. Albon¹",1,0)</f>
        <v>0</v>
      </c>
      <c r="BK26" s="696">
        <f>IF(Blad1!$AC$22="A. Albon¹",25,0)+IF(Blad1!$AH$22="A. Albon¹",18,0)+IF(Blad1!$AM$22="A. Albon¹",15,0)+IF(Blad1!$AR$22="A. Albon¹",12,0)+IF(Blad1!$AW$22="A. Albon¹",10,0)+IF(Blad1!$BB$22="A. Albon¹",8,0)+IF(Blad1!$BG$22="A. Albon¹",6,0)+IF(Blad1!$BL$22="A. Albon¹",4,0)+IF(Blad1!$BQ$22="A. Albon¹",2,0)+IF(Blad1!$BV$22="A. Albon¹",1,0)</f>
        <v>0</v>
      </c>
      <c r="BL26" s="557">
        <f t="shared" si="5"/>
        <v>34</v>
      </c>
      <c r="BN26" s="762"/>
      <c r="BO26" s="759"/>
      <c r="BP26" s="750"/>
      <c r="BQ26" s="750"/>
      <c r="BR26" s="750"/>
      <c r="BS26" s="750"/>
      <c r="BT26" s="750"/>
      <c r="BU26" s="750"/>
      <c r="BV26" s="750"/>
      <c r="BW26" s="750"/>
      <c r="BX26" s="750"/>
      <c r="BY26" s="750"/>
      <c r="BZ26" s="750"/>
      <c r="CA26" s="752"/>
      <c r="CB26" s="752"/>
      <c r="CC26" s="752"/>
      <c r="CD26" s="752"/>
      <c r="CE26" s="752"/>
      <c r="CF26" s="752"/>
      <c r="CG26" s="752"/>
      <c r="CH26" s="752"/>
      <c r="CI26" s="779"/>
      <c r="CJ26" s="753"/>
      <c r="CL26" s="569" t="s">
        <v>542</v>
      </c>
      <c r="CM26" s="611">
        <f>IF(Blad1!Z$2=$CL26,1)*Blad1!EJ$2</f>
        <v>0</v>
      </c>
      <c r="CN26" s="609">
        <f>IF(Blad1!Z$3=$CL26,1)*Blad1!EJ$3</f>
        <v>0</v>
      </c>
      <c r="CO26" s="609">
        <f>IF(Blad1!Z$4=$CL26,1)*Blad1!EJ$4</f>
        <v>0</v>
      </c>
      <c r="CP26" s="609">
        <f>IF(Blad1!Z$5=$CL26,1)*Blad1!EJ$5</f>
        <v>0</v>
      </c>
      <c r="CQ26" s="609">
        <f>IF(Blad1!Z$6=$CL26,1)*Blad1!EJ$6</f>
        <v>0</v>
      </c>
      <c r="CR26" s="609">
        <f>IF(Blad1!Z$7=$CL26,1)*Blad1!EJ$7</f>
        <v>0</v>
      </c>
      <c r="CS26" s="609">
        <f>IF(Blad1!Z$8=$CL26,1)*Blad1!EJ$8</f>
        <v>0</v>
      </c>
      <c r="CT26" s="609">
        <f>IF(Blad1!Z$9=$CL26,1)*Blad1!EJ$9</f>
        <v>0</v>
      </c>
      <c r="CU26" s="609">
        <f>IF(Blad1!Z$10=$CL26,1)*Blad1!EJ$10</f>
        <v>0</v>
      </c>
      <c r="CV26" s="609">
        <f>IF(Blad1!Z$11=$CL26,1)*Blad1!EJ$11</f>
        <v>0</v>
      </c>
      <c r="CW26" s="609">
        <f>IF(Blad1!Z$12=$CL26,1)*Blad1!EJ$12</f>
        <v>0</v>
      </c>
      <c r="CX26" s="609">
        <f>IF(Blad1!Z$13=$CL26,1)*Blad1!EJ$13</f>
        <v>0</v>
      </c>
      <c r="CY26" s="701">
        <f>IF(Blad1!Z$14=$CL26,1)*Blad1!EJ$14</f>
        <v>0</v>
      </c>
      <c r="CZ26" s="701">
        <f>IF(Blad1!Z$15=$CL26,1)*Blad1!EJ$15</f>
        <v>0</v>
      </c>
      <c r="DA26" s="701">
        <f>IF(Blad1!Z$16=$CL26,1)*Blad1!EJ$16</f>
        <v>0</v>
      </c>
      <c r="DB26" s="701">
        <f>IF(Blad1!Z$17=$CL26,1)*Blad1!EJ$17</f>
        <v>0</v>
      </c>
      <c r="DC26" s="701">
        <f>IF(Blad1!Z$18=$CL26,1)*Blad1!EJ$18</f>
        <v>0</v>
      </c>
      <c r="DD26" s="701">
        <f>IF(Blad1!Z$19=$CL26,1)*Blad1!EJ$19</f>
        <v>0</v>
      </c>
      <c r="DE26" s="701">
        <f>IF(Blad1!Z$20=$CL26,1)*Blad1!EJ$20</f>
        <v>0</v>
      </c>
      <c r="DF26" s="701">
        <f>IF(Blad1!Z$21=$CL26,1)*Blad1!EJ$21</f>
        <v>0</v>
      </c>
      <c r="DG26" s="702">
        <f>IF(Blad1!Z$22=$CL26,1)*Blad1!EJ$22</f>
        <v>0</v>
      </c>
      <c r="DH26" s="652">
        <f t="shared" si="6"/>
        <v>0</v>
      </c>
    </row>
    <row r="27" spans="2:112" ht="15" customHeight="1" x14ac:dyDescent="0.2">
      <c r="B27" s="293">
        <v>19</v>
      </c>
      <c r="C27" s="296" t="s">
        <v>528</v>
      </c>
      <c r="D27" s="297">
        <f>VLOOKUP($C27,punten_rijder,2,0)+VLOOKUP($C27,snelste_ronde,2,0)</f>
        <v>0</v>
      </c>
      <c r="E27" s="297">
        <f>VLOOKUP($C27,punten_rijder,3,0)+VLOOKUP($C27,snelste_ronde,3,0)</f>
        <v>0</v>
      </c>
      <c r="F27" s="297">
        <f>VLOOKUP($C27,punten_rijder,4,0)+VLOOKUP($C27,snelste_ronde,4,0)</f>
        <v>0</v>
      </c>
      <c r="G27" s="297">
        <f>VLOOKUP($C27,punten_rijder,5,0)+VLOOKUP($C27,snelste_ronde,5,0)</f>
        <v>0</v>
      </c>
      <c r="H27" s="297">
        <f>VLOOKUP($C27,punten_rijder,6,0)+VLOOKUP($C27,snelste_ronde,6,0)</f>
        <v>0</v>
      </c>
      <c r="I27" s="297">
        <f>VLOOKUP($C27,punten_rijder,7,0)+VLOOKUP($C27,snelste_ronde,7,0)</f>
        <v>0</v>
      </c>
      <c r="J27" s="297">
        <f>VLOOKUP($C27,punten_rijder,8,0)+VLOOKUP($C27,snelste_ronde,8,0)</f>
        <v>0</v>
      </c>
      <c r="K27" s="297">
        <f>VLOOKUP($C27,punten_rijder,9,0)+VLOOKUP($C27,snelste_ronde,9,0)</f>
        <v>0</v>
      </c>
      <c r="L27" s="297">
        <f>VLOOKUP($C27,punten_rijder,10,0)+VLOOKUP($C27,snelste_ronde,10,0)</f>
        <v>0</v>
      </c>
      <c r="M27" s="297">
        <f>VLOOKUP($C27,punten_rijder,11,0)+VLOOKUP($C27,snelste_ronde,11,0)</f>
        <v>0</v>
      </c>
      <c r="N27" s="297">
        <f>VLOOKUP($C27,punten_rijder,12,0)+VLOOKUP($C27,snelste_ronde,12,0)</f>
        <v>1</v>
      </c>
      <c r="O27" s="297">
        <f>VLOOKUP($C27,punten_rijder,13,0)+VLOOKUP($C27,snelste_ronde,13,0)</f>
        <v>0</v>
      </c>
      <c r="P27" s="297">
        <f>VLOOKUP($C27,punten_rijder,14,0)+VLOOKUP($C27,snelste_ronde,14,0)</f>
        <v>0</v>
      </c>
      <c r="Q27" s="297">
        <f>VLOOKUP($C27,punten_rijder,15,0)+VLOOKUP($C27,snelste_ronde,15,0)</f>
        <v>0</v>
      </c>
      <c r="R27" s="297">
        <f>VLOOKUP($C27,punten_rijder,16,0)+VLOOKUP($C27,snelste_ronde,16,0)</f>
        <v>0</v>
      </c>
      <c r="S27" s="297">
        <f>VLOOKUP($C27,punten_rijder,17,0)+VLOOKUP($C27,snelste_ronde,17,0)</f>
        <v>0</v>
      </c>
      <c r="T27" s="297">
        <f>VLOOKUP($C27,punten_rijder,18,0)+VLOOKUP($C27,snelste_ronde,18,0)</f>
        <v>0</v>
      </c>
      <c r="U27" s="297">
        <f>VLOOKUP($C27,punten_rijder,19,0)+VLOOKUP($C27,snelste_ronde,19,0)</f>
        <v>0</v>
      </c>
      <c r="V27" s="297">
        <f>VLOOKUP($C27,punten_rijder,20,0)+VLOOKUP($C27,snelste_ronde,20,0)</f>
        <v>0</v>
      </c>
      <c r="W27" s="297">
        <f>VLOOKUP($C27,punten_rijder,21,0)+VLOOKUP($C27,snelste_ronde,21,0)</f>
        <v>0</v>
      </c>
      <c r="X27" s="297">
        <f>VLOOKUP($C27,punten_rijder,22,0)+VLOOKUP($C27,snelste_ronde,22,0)</f>
        <v>0</v>
      </c>
      <c r="Y27" s="297">
        <f>SUM(D27:X27)</f>
        <v>1</v>
      </c>
      <c r="Z27" s="547"/>
      <c r="AA27" s="288">
        <f t="shared" si="0"/>
        <v>19</v>
      </c>
      <c r="AB27" s="298" t="str">
        <f t="shared" si="3"/>
        <v>¬</v>
      </c>
      <c r="AD27" s="548">
        <f t="shared" si="1"/>
        <v>1</v>
      </c>
      <c r="AE27" s="548"/>
      <c r="AF27" s="548"/>
      <c r="AH27" s="296" t="s">
        <v>528</v>
      </c>
      <c r="AI27" s="550">
        <v>19</v>
      </c>
      <c r="AK27" s="297">
        <f t="shared" si="4"/>
        <v>2</v>
      </c>
      <c r="AO27" s="558"/>
      <c r="AP27" s="553" t="s">
        <v>549</v>
      </c>
      <c r="AQ27" s="554">
        <f>IF(Blad1!$AC$2="G. Russell",25,0)+IF(Blad1!$AH$2="G. Russell",18,0)+IF(Blad1!$AM$2="G. Russell",15,0)+IF(Blad1!$AR$2="G. Russell",12,0)+IF(Blad1!$AW$2="G. Russell",10,0)+IF(Blad1!$BB$2="G. Russell",8,0)+IF(Blad1!$BG$2="G. Russell",6,0)+IF(Blad1!$BL$2="G. Russell",4,0)+IF(Blad1!$BQ$2="G. Russell",2,0)+IF(Blad1!$BV$2="G. Russell",1,0)</f>
        <v>0</v>
      </c>
      <c r="AR27" s="555">
        <f>IF(Blad1!$AC$3="G. Russell",25,0)+IF(Blad1!$AH$3="G. Russell",18,0)+IF(Blad1!$AM$3="G. Russell",15,0)+IF(Blad1!$AR$3="G. Russell",12,0)+IF(Blad1!$AW$3="G. Russell",10,0)+IF(Blad1!$BB$3="G. Russell",8,0)+IF(Blad1!$BG$3="G. Russell",6,0)+IF(Blad1!$BL$3="G. Russell",4,0)+IF(Blad1!$BQ$3="G. Russell",2,0)+IF(Blad1!$BV$3="G. Russell",1,0)</f>
        <v>0</v>
      </c>
      <c r="AS27" s="555">
        <f>IF(Blad1!$AC$4="G. Russell",25,0)+IF(Blad1!$AH$4="G. Russell",18,0)+IF(Blad1!$AM$4="G. Russell",15,0)+IF(Blad1!$AR$4="G. Russell",12,0)+IF(Blad1!$AW$4="G. Russell",10,0)+IF(Blad1!$BB$4="G. Russell",8,0)+IF(Blad1!$BG$4="G. Russell",6,0)+IF(Blad1!$BL$4="G. Russell",4,0)+IF(Blad1!$BQ$4="G. Russell",2,0)+IF(Blad1!$BV$4="G. Russell",1,0)</f>
        <v>0</v>
      </c>
      <c r="AT27" s="555">
        <f>IF(Blad1!$AC$5="G. Russell",25,0)+IF(Blad1!$AH$5="G. Russell",18,0)+IF(Blad1!$AM$5="G. Russell",15,0)+IF(Blad1!$AR$5="G. Russell",12,0)+IF(Blad1!$AW$5="G. Russell",10,0)+IF(Blad1!$BB$5="G. Russell",8,0)+IF(Blad1!$BG$5="G. Russell",6,0)+IF(Blad1!$BL$5="G. Russell",4,0)+IF(Blad1!$BQ$5="G. Russell",2,0)+IF(Blad1!$BV$5="G. Russell",1,0)</f>
        <v>0</v>
      </c>
      <c r="AU27" s="555">
        <f>IF(Blad1!$AC$6="G. Russell",25,0)+IF(Blad1!$AH$6="G. Russell",18,0)+IF(Blad1!$AM$6="G. Russell",15,0)+IF(Blad1!$AR$6="G. Russell",12,0)+IF(Blad1!$AW$6="G. Russell",10,0)+IF(Blad1!$BB$6="G. Russell",8,0)+IF(Blad1!$BG$6="G. Russell",6,0)+IF(Blad1!$BL$6="G. Russell",4,0)+IF(Blad1!$BQ$6="G. Russell",2,0)+IF(Blad1!$BV$6="G. Russell",1,0)</f>
        <v>0</v>
      </c>
      <c r="AV27" s="555">
        <f>IF(Blad1!$AC$7="G. Russell",25,0)+IF(Blad1!$AH$7="G. Russell",18,0)+IF(Blad1!$AM$7="G. Russell",15,0)+IF(Blad1!$AR$7="G. Russell",12,0)+IF(Blad1!$AW$7="G. Russell",10,0)+IF(Blad1!$BB$7="G. Russell",8,0)+IF(Blad1!$BG$7="G. Russell",6,0)+IF(Blad1!$BL$7="G. Russell",4,0)+IF(Blad1!$BQ$7="G. Russell",2,0)+IF(Blad1!$BV$7="G. Russell",1,0)</f>
        <v>0</v>
      </c>
      <c r="AW27" s="555">
        <f>IF(Blad1!$AC$8="G. Russell",25,0)+IF(Blad1!$AH$8="G. Russell",18,0)+IF(Blad1!$AM$8="G. Russell",15,0)+IF(Blad1!$AR$8="G. Russell",12,0)+IF(Blad1!$AW$8="G. Russell",10,0)+IF(Blad1!$BB$8="G. Russell",8,0)+IF(Blad1!$BG$8="G. Russell",6,0)+IF(Blad1!$BL$8="G. Russell",4,0)+IF(Blad1!$BQ$8="G. Russell",2,0)+IF(Blad1!$BV$8="G. Russell",1,0)</f>
        <v>0</v>
      </c>
      <c r="AX27" s="555">
        <f>IF(Blad1!$AC$9="G. Russell",25,0)+IF(Blad1!$AH$9="G. Russell",18,0)+IF(Blad1!$AM$9="G. Russell",15,0)+IF(Blad1!$AR$9="G. Russell",12,0)+IF(Blad1!$AW$9="G. Russell",10,0)+IF(Blad1!$BB$9="G. Russell",8,0)+IF(Blad1!$BG$9="G. Russell",6,0)+IF(Blad1!$BL$9="G. Russell",4,0)+IF(Blad1!$BQ$9="G. Russell",2,0)+IF(Blad1!$BV$9="G. Russell",1,0)</f>
        <v>0</v>
      </c>
      <c r="AY27" s="555">
        <f>IF(Blad1!$AC$10="G. Russell",25,0)+IF(Blad1!$AH$10="G. Russell",18,0)+IF(Blad1!$AM$10="G. Russell",15,0)+IF(Blad1!$AR$10="G. Russell",12,0)+IF(Blad1!$AW$10="G. Russell",10,0)+IF(Blad1!$BB$10="G. Russell",8,0)+IF(Blad1!$BG$10="G. Russell",6,0)+IF(Blad1!$BL$10="G. Russell",4,0)+IF(Blad1!$BQ$10="G. Russell",2,0)+IF(Blad1!$BV$10="G. Russell",1,0)</f>
        <v>0</v>
      </c>
      <c r="AZ27" s="555">
        <f>IF(Blad1!$AC$11="G. Russell",25,0)+IF(Blad1!$AH$11="G. Russell",18,0)+IF(Blad1!$AM$11="G. Russell",15,0)+IF(Blad1!$AR$11="G. Russell",12,0)+IF(Blad1!$AW$11="G. Russell",10,0)+IF(Blad1!$BB$11="G. Russell",8,0)+IF(Blad1!$BG$11="G. Russell",6,0)+IF(Blad1!$BL$11="G. Russell",4,0)+IF(Blad1!$BQ$11="G. Russell",2,0)+IF(Blad1!$BV$11="G. Russell",1,0)</f>
        <v>0</v>
      </c>
      <c r="BA27" s="555">
        <f>IF(Blad1!$AC$12="G. Russell",25,0)+IF(Blad1!$AH$12="G. Russell",18,0)+IF(Blad1!$AM$12="G. Russell",15,0)+IF(Blad1!$AR$12="G. Russell",12,0)+IF(Blad1!$AW$12="G. Russell",10,0)+IF(Blad1!$BB$12="G. Russell",8,0)+IF(Blad1!$BG$12="G. Russell",6,0)+IF(Blad1!$BL$12="G. Russell",4,0)+IF(Blad1!$BQ$12="G. Russell",2,0)+IF(Blad1!$BV$12="G. Russell",1,0)</f>
        <v>0</v>
      </c>
      <c r="BB27" s="555">
        <f>IF(Blad1!$AC$13="G. Russell",25,0)+IF(Blad1!$AH$13="G. Russell",18,0)+IF(Blad1!$AM$13="G. Russell",15,0)+IF(Blad1!$AR$13="G. Russell",12,0)+IF(Blad1!$AW$13="G. Russell",10,0)+IF(Blad1!$BB$13="G. Russell",8,0)+IF(Blad1!$BG$13="G. Russell",6,0)+IF(Blad1!$BL$13="G. Russell",4,0)+IF(Blad1!$BQ$13="G. Russell",2,0)+IF(Blad1!$BV$13="G. Russell",1,0)</f>
        <v>0</v>
      </c>
      <c r="BC27" s="555">
        <f>IF(Blad1!$AC$14="G. Russell",25,0)+IF(Blad1!$AH$14="G. Russell",18,0)+IF(Blad1!$AM$14="G. Russell",15,0)+IF(Blad1!$AR$14="G. Russell",12,0)+IF(Blad1!$AW$14="G. Russell",10,0)+IF(Blad1!$BB$14="G. Russell",8,0)+IF(Blad1!$BG$14="G. Russell",6,0)+IF(Blad1!$BL$14="G. Russell",4,0)+IF(Blad1!$BQ$14="G. Russell",2,0)+IF(Blad1!$BV$14="G. Russell",1,0)</f>
        <v>0</v>
      </c>
      <c r="BD27" s="555">
        <f>IF(Blad1!$AC$15="G. Russell",25,0)+IF(Blad1!$AH$15="G. Russell",18,0)+IF(Blad1!$AM$15="G. Russell",15,0)+IF(Blad1!$AR$15="G. Russell",12,0)+IF(Blad1!$AW$15="G. Russell",10,0)+IF(Blad1!$BB$15="G. Russell",8,0)+IF(Blad1!$BG$15="G. Russell",6,0)+IF(Blad1!$BL$15="G. Russell",4,0)+IF(Blad1!$BQ$15="G. Russell",2,0)+IF(Blad1!$BV$15="G. Russell",1,0)</f>
        <v>0</v>
      </c>
      <c r="BE27" s="555">
        <f>IF(Blad1!$AC$16="G. Russell",25,0)+IF(Blad1!$AH$16="G. Russell",18,0)+IF(Blad1!$AM$16="G. Russell",15,0)+IF(Blad1!$AR$16="G. Russell",12,0)+IF(Blad1!$AW$16="G. Russell",10,0)+IF(Blad1!$BB$16="G. Russell",8,0)+IF(Blad1!$BG$16="G. Russell",6,0)+IF(Blad1!$BL$16="G. Russell",4,0)+IF(Blad1!$BQ$16="G. Russell",2,0)+IF(Blad1!$BV$16="G. Russell",1,0)</f>
        <v>0</v>
      </c>
      <c r="BF27" s="555">
        <f>IF(Blad1!$AC$17="G. Russell",25,0)+IF(Blad1!$AH$17="G. Russell",18,0)+IF(Blad1!$AM$17="G. Russell",15,0)+IF(Blad1!$AR$17="G. Russell",12,0)+IF(Blad1!$AW$17="G. Russell",10,0)+IF(Blad1!$BB$17="G. Russell",8,0)+IF(Blad1!$BG$17="G. Russell",6,0)+IF(Blad1!$BL$17="G. Russell",4,0)+IF(Blad1!$BQ$17="G. Russell",2,0)+IF(Blad1!$BV$17="G. Russell",1,0)</f>
        <v>0</v>
      </c>
      <c r="BG27" s="555">
        <f>IF(Blad1!$AC$18="G. Russell",25,0)+IF(Blad1!$AH$18="G. Russell",18,0)+IF(Blad1!$AM$18="G. Russell",15,0)+IF(Blad1!$AR$18="G. Russell",12,0)+IF(Blad1!$AW$18="G. Russell",10,0)+IF(Blad1!$BB$18="G. Russell",8,0)+IF(Blad1!$BG$18="G. Russell",6,0)+IF(Blad1!$BL$18="G. Russell",4,0)+IF(Blad1!$BQ$18="G. Russell",2,0)+IF(Blad1!$BV$18="G. Russell",1,0)</f>
        <v>0</v>
      </c>
      <c r="BH27" s="555">
        <f>IF(Blad1!$AC$19="G. Russell",25,0)+IF(Blad1!$AH$19="G. Russell",18,0)+IF(Blad1!$AM$19="G. Russell",15,0)+IF(Blad1!$AR$19="G. Russell",12,0)+IF(Blad1!$AW$19="G. Russell",10,0)+IF(Blad1!$BB$19="G. Russell",8,0)+IF(Blad1!$BG$19="G. Russell",6,0)+IF(Blad1!$BL$19="G. Russell",4,0)+IF(Blad1!$BQ$19="G. Russell",2,0)+IF(Blad1!$BV$19="G. Russell",1,0)</f>
        <v>0</v>
      </c>
      <c r="BI27" s="555">
        <f>IF(Blad1!$AC$20="G. Russell",25,0)+IF(Blad1!$AH$20="G. Russell",18,0)+IF(Blad1!$AM$20="G. Russell",15,0)+IF(Blad1!$AR$20="G. Russell",12,0)+IF(Blad1!$AW$20="G. Russell",10,0)+IF(Blad1!$BB$20="G. Russell",8,0)+IF(Blad1!$BG$20="G. Russell",6,0)+IF(Blad1!$BL$20="G. Russell",4,0)+IF(Blad1!$BQ$20="G. Russell",2,0)+IF(Blad1!$BV$20="G. Russell",1,0)</f>
        <v>0</v>
      </c>
      <c r="BJ27" s="556">
        <f>IF(Blad1!$AC$21="G. Russell",25,0)+IF(Blad1!$AH$21="G. Russell",18,0)+IF(Blad1!$AM$21="G. Russell",15,0)+IF(Blad1!$AR$21="G. Russell",12,0)+IF(Blad1!$AW$21="G. Russell",10,0)+IF(Blad1!$BB$21="G. Russell",8,0)+IF(Blad1!$BG$21="G. Russell",6,0)+IF(Blad1!$BL$21="G. Russell",4,0)+IF(Blad1!$BQ$21="G. Russell",2,0)+IF(Blad1!$BV$21="G. Russell",1,0)</f>
        <v>0</v>
      </c>
      <c r="BK27" s="556">
        <f>IF(Blad1!$AC$22="G. Russell",25,0)+IF(Blad1!$AH$22="G. Russell",18,0)+IF(Blad1!$AM$22="G. Russell",15,0)+IF(Blad1!$AR$22="G. Russell",12,0)+IF(Blad1!$AW$22="G. Russell",10,0)+IF(Blad1!$BB$22="G. Russell",8,0)+IF(Blad1!$BG$22="G. Russell",6,0)+IF(Blad1!$BL$22="G. Russell",4,0)+IF(Blad1!$BQ$22="G. Russell",2,0)+IF(Blad1!$BV$22="G. Russell",1,0)</f>
        <v>0</v>
      </c>
      <c r="BL27" s="557">
        <f t="shared" si="5"/>
        <v>0</v>
      </c>
      <c r="BN27" s="769" t="s">
        <v>77</v>
      </c>
      <c r="BO27" s="759">
        <f t="shared" ref="BO27" si="166">AQ27+AQ28+CM27+CM28</f>
        <v>0</v>
      </c>
      <c r="BP27" s="750">
        <f t="shared" ref="BP27" si="167">AR27+AR28+CN27+CN28</f>
        <v>0</v>
      </c>
      <c r="BQ27" s="750">
        <f t="shared" ref="BQ27" si="168">AS27+AS28+CO27+CO28</f>
        <v>0</v>
      </c>
      <c r="BR27" s="750">
        <f t="shared" ref="BR27" si="169">AT27+AT28+CP27+CP28</f>
        <v>0</v>
      </c>
      <c r="BS27" s="750">
        <f t="shared" ref="BS27" si="170">AU27+AU28+CQ27+CQ28</f>
        <v>0</v>
      </c>
      <c r="BT27" s="750">
        <f t="shared" ref="BT27" si="171">AV27+AV28+CR27+CR28</f>
        <v>0</v>
      </c>
      <c r="BU27" s="750">
        <f t="shared" ref="BU27" si="172">AW27+AW28+CS27+CS28</f>
        <v>0</v>
      </c>
      <c r="BV27" s="750">
        <f t="shared" ref="BV27" si="173">AX27+AX28+CT27+CT28</f>
        <v>0</v>
      </c>
      <c r="BW27" s="750">
        <f t="shared" ref="BW27" si="174">AY27+AY28+CU27+CU28</f>
        <v>0</v>
      </c>
      <c r="BX27" s="750">
        <f t="shared" ref="BX27" si="175">AZ27+AZ28+CV27+CV28</f>
        <v>0</v>
      </c>
      <c r="BY27" s="750">
        <f t="shared" ref="BY27" si="176">BA27+BA28+CW27+CW28</f>
        <v>1</v>
      </c>
      <c r="BZ27" s="750">
        <f t="shared" ref="BZ27" si="177">BB27+BB28+CX27+CX28</f>
        <v>0</v>
      </c>
      <c r="CA27" s="750">
        <f t="shared" ref="CA27" si="178">BC27+BC28+CY27+CY28</f>
        <v>0</v>
      </c>
      <c r="CB27" s="750">
        <f t="shared" ref="CB27" si="179">BD27+BD28+CZ27+CZ28</f>
        <v>0</v>
      </c>
      <c r="CC27" s="750">
        <f t="shared" ref="CC27" si="180">BE27+BE28+DA27+DA28</f>
        <v>0</v>
      </c>
      <c r="CD27" s="750">
        <f t="shared" ref="CD27" si="181">BF27+BF28+DB27+DB28</f>
        <v>0</v>
      </c>
      <c r="CE27" s="750">
        <f t="shared" ref="CE27" si="182">BG27+BG28+DC27+DC28</f>
        <v>0</v>
      </c>
      <c r="CF27" s="750">
        <f t="shared" ref="CF27" si="183">BH27+BH28+DD27+DD28</f>
        <v>0</v>
      </c>
      <c r="CG27" s="750">
        <f t="shared" ref="CG27" si="184">BI27+BI28+DE27+DE28</f>
        <v>0</v>
      </c>
      <c r="CH27" s="750">
        <f t="shared" ref="CH27" si="185">BJ27+BJ28+DF27+DF28</f>
        <v>0</v>
      </c>
      <c r="CI27" s="755">
        <f t="shared" ref="CI27" si="186">BK27+BK28+DG27+DG28</f>
        <v>0</v>
      </c>
      <c r="CJ27" s="753">
        <f>SUM(BO27:CH28)</f>
        <v>1</v>
      </c>
      <c r="CL27" s="569" t="s">
        <v>549</v>
      </c>
      <c r="CM27" s="611">
        <f>IF(Blad1!Z$2=$CL27,1)*Blad1!EJ$2</f>
        <v>0</v>
      </c>
      <c r="CN27" s="609">
        <f>IF(Blad1!Z$3=$CL27,1)*Blad1!EJ$3</f>
        <v>0</v>
      </c>
      <c r="CO27" s="609">
        <f>IF(Blad1!Z$4=$CL27,1)*Blad1!EJ$4</f>
        <v>0</v>
      </c>
      <c r="CP27" s="609">
        <f>IF(Blad1!Z$5=$CL27,1)*Blad1!EJ$5</f>
        <v>0</v>
      </c>
      <c r="CQ27" s="609">
        <f>IF(Blad1!Z$6=$CL27,1)*Blad1!EJ$6</f>
        <v>0</v>
      </c>
      <c r="CR27" s="609">
        <f>IF(Blad1!Z$7=$CL27,1)*Blad1!EJ$7</f>
        <v>0</v>
      </c>
      <c r="CS27" s="609">
        <f>IF(Blad1!Z$8=$CL27,1)*Blad1!EJ$8</f>
        <v>0</v>
      </c>
      <c r="CT27" s="609">
        <f>IF(Blad1!Z$9=$CL27,1)*Blad1!EJ$9</f>
        <v>0</v>
      </c>
      <c r="CU27" s="609">
        <f>IF(Blad1!Z$10=$CL27,1)*Blad1!EJ$10</f>
        <v>0</v>
      </c>
      <c r="CV27" s="609">
        <f>IF(Blad1!Z$11=$CL27,1)*Blad1!EJ$11</f>
        <v>0</v>
      </c>
      <c r="CW27" s="609">
        <f>IF(Blad1!Z$12=$CL27,1)*Blad1!EJ$12</f>
        <v>0</v>
      </c>
      <c r="CX27" s="609">
        <f>IF(Blad1!Z$13=$CL27,1)*Blad1!EJ$13</f>
        <v>0</v>
      </c>
      <c r="CY27" s="609">
        <f>IF(Blad1!Z$14=$CL27,1)*Blad1!EJ$14</f>
        <v>0</v>
      </c>
      <c r="CZ27" s="609">
        <f>IF(Blad1!Z$15=$CL27,1)*Blad1!EJ$15</f>
        <v>0</v>
      </c>
      <c r="DA27" s="609">
        <f>IF(Blad1!Z$16=$CL27,1)*Blad1!EJ$16</f>
        <v>0</v>
      </c>
      <c r="DB27" s="609">
        <f>IF(Blad1!Z$17=$CL27,1)*Blad1!EJ$17</f>
        <v>0</v>
      </c>
      <c r="DC27" s="609">
        <f>IF(Blad1!Z$18=$CL27,1)*Blad1!EJ$18</f>
        <v>0</v>
      </c>
      <c r="DD27" s="609">
        <f>IF(Blad1!Z$19=$CL27,1)*Blad1!EJ$19</f>
        <v>0</v>
      </c>
      <c r="DE27" s="609">
        <f>IF(Blad1!Z$20=$CL27,1)*Blad1!EJ$20</f>
        <v>0</v>
      </c>
      <c r="DF27" s="609">
        <f>IF(Blad1!Z$21=$CL27,1)*Blad1!EJ$21</f>
        <v>0</v>
      </c>
      <c r="DG27" s="649">
        <f>IF(Blad1!Z$22=$CL27,1)*Blad1!EJ$22</f>
        <v>0</v>
      </c>
      <c r="DH27" s="652">
        <f t="shared" si="6"/>
        <v>0</v>
      </c>
    </row>
    <row r="28" spans="2:112" ht="15" customHeight="1" thickBot="1" x14ac:dyDescent="0.25">
      <c r="B28" s="293">
        <v>20</v>
      </c>
      <c r="C28" s="296" t="s">
        <v>549</v>
      </c>
      <c r="D28" s="297">
        <f>VLOOKUP($C28,punten_rijder,2,0)+VLOOKUP($C28,snelste_ronde,2,0)</f>
        <v>0</v>
      </c>
      <c r="E28" s="297">
        <f>VLOOKUP($C28,punten_rijder,3,0)+VLOOKUP($C28,snelste_ronde,3,0)</f>
        <v>0</v>
      </c>
      <c r="F28" s="297">
        <f>VLOOKUP($C28,punten_rijder,4,0)+VLOOKUP($C28,snelste_ronde,4,0)</f>
        <v>0</v>
      </c>
      <c r="G28" s="297">
        <f>VLOOKUP($C28,punten_rijder,5,0)+VLOOKUP($C28,snelste_ronde,5,0)</f>
        <v>0</v>
      </c>
      <c r="H28" s="297">
        <f>VLOOKUP($C28,punten_rijder,6,0)+VLOOKUP($C28,snelste_ronde,6,0)</f>
        <v>0</v>
      </c>
      <c r="I28" s="297">
        <f>VLOOKUP($C28,punten_rijder,7,0)+VLOOKUP($C28,snelste_ronde,7,0)</f>
        <v>0</v>
      </c>
      <c r="J28" s="297">
        <f>VLOOKUP($C28,punten_rijder,8,0)+VLOOKUP($C28,snelste_ronde,8,0)</f>
        <v>0</v>
      </c>
      <c r="K28" s="297">
        <f>VLOOKUP($C28,punten_rijder,9,0)+VLOOKUP($C28,snelste_ronde,9,0)</f>
        <v>0</v>
      </c>
      <c r="L28" s="297">
        <f>VLOOKUP($C28,punten_rijder,10,0)+VLOOKUP($C28,snelste_ronde,10,0)</f>
        <v>0</v>
      </c>
      <c r="M28" s="297">
        <f>VLOOKUP($C28,punten_rijder,11,0)+VLOOKUP($C28,snelste_ronde,11,0)</f>
        <v>0</v>
      </c>
      <c r="N28" s="297">
        <f>VLOOKUP($C28,punten_rijder,12,0)+VLOOKUP($C28,snelste_ronde,12,0)</f>
        <v>0</v>
      </c>
      <c r="O28" s="297">
        <f>VLOOKUP($C28,punten_rijder,13,0)+VLOOKUP($C28,snelste_ronde,13,0)</f>
        <v>0</v>
      </c>
      <c r="P28" s="297">
        <f>VLOOKUP($C28,punten_rijder,14,0)+VLOOKUP($C28,snelste_ronde,14,0)</f>
        <v>0</v>
      </c>
      <c r="Q28" s="297">
        <f>VLOOKUP($C28,punten_rijder,15,0)+VLOOKUP($C28,snelste_ronde,15,0)</f>
        <v>0</v>
      </c>
      <c r="R28" s="297">
        <f>VLOOKUP($C28,punten_rijder,16,0)+VLOOKUP($C28,snelste_ronde,16,0)</f>
        <v>0</v>
      </c>
      <c r="S28" s="297">
        <f>VLOOKUP($C28,punten_rijder,17,0)+VLOOKUP($C28,snelste_ronde,17,0)</f>
        <v>0</v>
      </c>
      <c r="T28" s="297">
        <f>VLOOKUP($C28,punten_rijder,18,0)+VLOOKUP($C28,snelste_ronde,18,0)</f>
        <v>0</v>
      </c>
      <c r="U28" s="297">
        <f>VLOOKUP($C28,punten_rijder,19,0)+VLOOKUP($C28,snelste_ronde,19,0)</f>
        <v>0</v>
      </c>
      <c r="V28" s="297">
        <f>VLOOKUP($C28,punten_rijder,20,0)+VLOOKUP($C28,snelste_ronde,20,0)</f>
        <v>0</v>
      </c>
      <c r="W28" s="297">
        <f>VLOOKUP($C28,punten_rijder,21,0)+VLOOKUP($C28,snelste_ronde,21,0)</f>
        <v>0</v>
      </c>
      <c r="X28" s="297">
        <f>VLOOKUP($C28,punten_rijder,22,0)+VLOOKUP($C28,snelste_ronde,22,0)</f>
        <v>0</v>
      </c>
      <c r="Y28" s="297">
        <f>SUM(D28:X28)</f>
        <v>0</v>
      </c>
      <c r="Z28" s="547"/>
      <c r="AA28" s="288">
        <f t="shared" ref="AA28" si="187">VLOOKUP(C28,vorige_stand,2,0)</f>
        <v>20</v>
      </c>
      <c r="AB28" s="298" t="str">
        <f t="shared" ref="AB28" si="188">VLOOKUP(AD28,$AE$9:$AF$11,2,0)</f>
        <v>¬</v>
      </c>
      <c r="AD28" s="548">
        <f t="shared" ref="AD28" si="189">IF(AA28=B28,1)+IF(AA28&gt;B28,2)+IF(AA28&lt;B28,3)</f>
        <v>1</v>
      </c>
      <c r="AE28" s="548"/>
      <c r="AF28" s="548"/>
      <c r="AH28" s="296" t="s">
        <v>549</v>
      </c>
      <c r="AI28" s="550">
        <v>20</v>
      </c>
      <c r="AK28" s="297">
        <f t="shared" si="4"/>
        <v>1</v>
      </c>
      <c r="AO28" s="558"/>
      <c r="AP28" s="559" t="s">
        <v>528</v>
      </c>
      <c r="AQ28" s="560">
        <f>IF(Blad1!$AC$2="R. Kubica",25,0)+IF(Blad1!$AH$2="R. Kubica",18,0)+IF(Blad1!$AM$2="R. Kubica",15,0)+IF(Blad1!$AR$2="R. Kubica",12,0)+IF(Blad1!$AW$2="R. Kubica",10,0)+IF(Blad1!$BB$2="R. Kubica",8,0)+IF(Blad1!$BG$2="R. Kubica",6,0)+IF(Blad1!$BL$2="R. Kubica",4,0)+IF(Blad1!$BQ$2="R. Kubica",2,0)+IF(Blad1!$BV$2="R. Kubica",1,0)</f>
        <v>0</v>
      </c>
      <c r="AR28" s="561">
        <f>IF(Blad1!$AC$3="R. Kubica",25,0)+IF(Blad1!$AH$3="R. Kubica",18,0)+IF(Blad1!$AM$3="R. Kubica",15,0)+IF(Blad1!$AR$3="R. Kubica",12,0)+IF(Blad1!$AW$3="R. Kubica",10,0)+IF(Blad1!$BB$3="R. Kubica",8,0)+IF(Blad1!$BG$3="R. Kubica",6,0)+IF(Blad1!$BL$3="R. Kubica",4,0)+IF(Blad1!$BQ$3="R. Kubica",2,0)+IF(Blad1!$BV$3="R. Kubica",1,0)</f>
        <v>0</v>
      </c>
      <c r="AS28" s="561">
        <f>IF(Blad1!$AC$4="R. Kubica",25,0)+IF(Blad1!$AH$4="R. Kubica",18,0)+IF(Blad1!$AM$4="R. Kubica",15,0)+IF(Blad1!$AR$4="R. Kubica",12,0)+IF(Blad1!$AW$4="R. Kubica",10,0)+IF(Blad1!$BB$4="R. Kubica",8,0)+IF(Blad1!$BG$4="R. Kubica",6,0)+IF(Blad1!$BL$4="R. Kubica",4,0)+IF(Blad1!$BQ$4="R. Kubica",2,0)+IF(Blad1!$BV$4="R. Kubica",1,0)</f>
        <v>0</v>
      </c>
      <c r="AT28" s="561">
        <f>IF(Blad1!$AC$5="R. Kubica",25,0)+IF(Blad1!$AH$5="R. Kubica",18,0)+IF(Blad1!$AM$5="R. Kubica",15,0)+IF(Blad1!$AR$5="R. Kubica",12,0)+IF(Blad1!$AW$5="R. Kubica",10,0)+IF(Blad1!$BB$5="R. Kubica",8,0)+IF(Blad1!$BG$5="R. Kubica",6,0)+IF(Blad1!$BL$5="R. Kubica",4,0)+IF(Blad1!$BQ$5="R. Kubica",2,0)+IF(Blad1!$BV$5="R. Kubica",1,0)</f>
        <v>0</v>
      </c>
      <c r="AU28" s="561">
        <f>IF(Blad1!$AC$6="R. Kubica",25,0)+IF(Blad1!$AH$6="R. Kubica",18,0)+IF(Blad1!$AM$6="R. Kubica",15,0)+IF(Blad1!$AR$6="R. Kubica",12,0)+IF(Blad1!$AW$6="R. Kubica",10,0)+IF(Blad1!$BB$6="R. Kubica",8,0)+IF(Blad1!$BG$6="R. Kubica",6,0)+IF(Blad1!$BL$6="R. Kubica",4,0)+IF(Blad1!$BQ$6="R. Kubica",2,0)+IF(Blad1!$BV$6="R. Kubica",1,0)</f>
        <v>0</v>
      </c>
      <c r="AV28" s="561">
        <f>IF(Blad1!$AC$7="R. Kubica",25,0)+IF(Blad1!$AH$7="R. Kubica",18,0)+IF(Blad1!$AM$7="R. Kubica",15,0)+IF(Blad1!$AR$7="R. Kubica",12,0)+IF(Blad1!$AW$7="R. Kubica",10,0)+IF(Blad1!$BB$7="R. Kubica",8,0)+IF(Blad1!$BG$7="R. Kubica",6,0)+IF(Blad1!$BL$7="R. Kubica",4,0)+IF(Blad1!$BQ$7="R. Kubica",2,0)+IF(Blad1!$BV$7="R. Kubica",1,0)</f>
        <v>0</v>
      </c>
      <c r="AW28" s="561">
        <f>IF(Blad1!$AC$8="R. Kubica",25,0)+IF(Blad1!$AH$8="R. Kubica",18,0)+IF(Blad1!$AM$8="R. Kubica",15,0)+IF(Blad1!$AR$8="R. Kubica",12,0)+IF(Blad1!$AW$8="R. Kubica",10,0)+IF(Blad1!$BB$8="R. Kubica",8,0)+IF(Blad1!$BG$8="R. Kubica",6,0)+IF(Blad1!$BL$8="R. Kubica",4,0)+IF(Blad1!$BQ$8="R. Kubica",2,0)+IF(Blad1!$BV$8="R. Kubica",1,0)</f>
        <v>0</v>
      </c>
      <c r="AX28" s="561">
        <f>IF(Blad1!$AC$9="R. Kubica",25,0)+IF(Blad1!$AH$9="R. Kubica",18,0)+IF(Blad1!$AM$9="R. Kubica",15,0)+IF(Blad1!$AR$9="R. Kubica",12,0)+IF(Blad1!$AW$9="R. Kubica",10,0)+IF(Blad1!$BB$9="R. Kubica",8,0)+IF(Blad1!$BG$9="R. Kubica",6,0)+IF(Blad1!$BL$9="R. Kubica",4,0)+IF(Blad1!$BQ$9="R. Kubica",2,0)+IF(Blad1!$BV$9="R. Kubica",1,0)</f>
        <v>0</v>
      </c>
      <c r="AY28" s="561">
        <f>IF(Blad1!$AC$10="R. Kubica",25,0)+IF(Blad1!$AH$10="R. Kubica",18,0)+IF(Blad1!$AM$10="R. Kubica",15,0)+IF(Blad1!$AR$10="R. Kubica",12,0)+IF(Blad1!$AW$10="R. Kubica",10,0)+IF(Blad1!$BB$10="R. Kubica",8,0)+IF(Blad1!$BG$10="R. Kubica",6,0)+IF(Blad1!$BL$10="R. Kubica",4,0)+IF(Blad1!$BQ$10="R. Kubica",2,0)+IF(Blad1!$BV$10="R. Kubica",1,0)</f>
        <v>0</v>
      </c>
      <c r="AZ28" s="561">
        <f>IF(Blad1!$AC$11="R. Kubica",25,0)+IF(Blad1!$AH$11="R. Kubica",18,0)+IF(Blad1!$AM$11="R. Kubica",15,0)+IF(Blad1!$AR$11="R. Kubica",12,0)+IF(Blad1!$AW$11="R. Kubica",10,0)+IF(Blad1!$BB$11="R. Kubica",8,0)+IF(Blad1!$BG$11="R. Kubica",6,0)+IF(Blad1!$BL$11="R. Kubica",4,0)+IF(Blad1!$BQ$11="R. Kubica",2,0)+IF(Blad1!$BV$11="R. Kubica",1,0)</f>
        <v>0</v>
      </c>
      <c r="BA28" s="561">
        <f>IF(Blad1!$AC$12="R. Kubica",25,0)+IF(Blad1!$AH$12="R. Kubica",18,0)+IF(Blad1!$AM$12="R. Kubica",15,0)+IF(Blad1!$AR$12="R. Kubica",12,0)+IF(Blad1!$AW$12="R. Kubica",10,0)+IF(Blad1!$BB$12="R. Kubica",8,0)+IF(Blad1!$BG$12="R. Kubica",6,0)+IF(Blad1!$BL$12="R. Kubica",4,0)+IF(Blad1!$BQ$12="R. Kubica",2,0)+IF(Blad1!$BV$12="R. Kubica",1,0)</f>
        <v>1</v>
      </c>
      <c r="BB28" s="561">
        <f>IF(Blad1!$AC$13="R. Kubica",25,0)+IF(Blad1!$AH$13="R. Kubica",18,0)+IF(Blad1!$AM$13="R. Kubica",15,0)+IF(Blad1!$AR$13="R. Kubica",12,0)+IF(Blad1!$AW$13="R. Kubica",10,0)+IF(Blad1!$BB$13="R. Kubica",8,0)+IF(Blad1!$BG$13="R. Kubica",6,0)+IF(Blad1!$BL$13="R. Kubica",4,0)+IF(Blad1!$BQ$13="R. Kubica",2,0)+IF(Blad1!$BV$13="R. Kubica",1,0)</f>
        <v>0</v>
      </c>
      <c r="BC28" s="561">
        <f>IF(Blad1!$AC$14="R. Kubica",25,0)+IF(Blad1!$AH$14="R. Kubica",18,0)+IF(Blad1!$AM$14="R. Kubica",15,0)+IF(Blad1!$AR$14="R. Kubica",12,0)+IF(Blad1!$AW$14="R. Kubica",10,0)+IF(Blad1!$BB$14="R. Kubica",8,0)+IF(Blad1!$BG$14="R. Kubica",6,0)+IF(Blad1!$BL$14="R. Kubica",4,0)+IF(Blad1!$BQ$14="R. Kubica",2,0)+IF(Blad1!$BV$14="R. Kubica",1,0)</f>
        <v>0</v>
      </c>
      <c r="BD28" s="561">
        <f>IF(Blad1!$AC$15="R. Kubica",25,0)+IF(Blad1!$AH$15="R. Kubica",18,0)+IF(Blad1!$AM$15="R. Kubica",15,0)+IF(Blad1!$AR$15="R. Kubica",12,0)+IF(Blad1!$AW$15="R. Kubica",10,0)+IF(Blad1!$BB$15="R. Kubica",8,0)+IF(Blad1!$BG$15="R. Kubica",6,0)+IF(Blad1!$BL$15="R. Kubica",4,0)+IF(Blad1!$BQ$15="R. Kubica",2,0)+IF(Blad1!$BV$15="R. Kubica",1,0)</f>
        <v>0</v>
      </c>
      <c r="BE28" s="561">
        <f>IF(Blad1!$AC$16="R. Kubica",25,0)+IF(Blad1!$AH$16="R. Kubica",18,0)+IF(Blad1!$AM$16="R. Kubica",15,0)+IF(Blad1!$AR$16="R. Kubica",12,0)+IF(Blad1!$AW$16="R. Kubica",10,0)+IF(Blad1!$BB$16="R. Kubica",8,0)+IF(Blad1!$BG$16="R. Kubica",6,0)+IF(Blad1!$BL$16="R. Kubica",4,0)+IF(Blad1!$BQ$16="R. Kubica",2,0)+IF(Blad1!$BV$16="R. Kubica",1,0)</f>
        <v>0</v>
      </c>
      <c r="BF28" s="561">
        <f>IF(Blad1!$AC$17="R. Kubica",25,0)+IF(Blad1!$AH$17="R. Kubica",18,0)+IF(Blad1!$AM$17="R. Kubica",15,0)+IF(Blad1!$AR$17="R. Kubica",12,0)+IF(Blad1!$AW$17="R. Kubica",10,0)+IF(Blad1!$BB$17="R. Kubica",8,0)+IF(Blad1!$BG$17="R. Kubica",6,0)+IF(Blad1!$BL$17="R. Kubica",4,0)+IF(Blad1!$BQ$17="R. Kubica",2,0)+IF(Blad1!$BV$17="R. Kubica",1,0)</f>
        <v>0</v>
      </c>
      <c r="BG28" s="561">
        <f>IF(Blad1!$AC$18="R. Kubica",25,0)+IF(Blad1!$AH$18="R. Kubica",18,0)+IF(Blad1!$AM$18="R. Kubica",15,0)+IF(Blad1!$AR$18="R. Kubica",12,0)+IF(Blad1!$AW$18="R. Kubica",10,0)+IF(Blad1!$BB$18="R. Kubica",8,0)+IF(Blad1!$BG$18="R. Kubica",6,0)+IF(Blad1!$BL$18="R. Kubica",4,0)+IF(Blad1!$BQ$18="R. Kubica",2,0)+IF(Blad1!$BV$18="R. Kubica",1,0)</f>
        <v>0</v>
      </c>
      <c r="BH28" s="561">
        <f>IF(Blad1!$AC$19="R. Kubica",25,0)+IF(Blad1!$AH$19="R. Kubica",18,0)+IF(Blad1!$AM$19="R. Kubica",15,0)+IF(Blad1!$AR$19="R. Kubica",12,0)+IF(Blad1!$AW$19="R. Kubica",10,0)+IF(Blad1!$BB$19="R. Kubica",8,0)+IF(Blad1!$BG$19="R. Kubica",6,0)+IF(Blad1!$BL$19="R. Kubica",4,0)+IF(Blad1!$BQ$19="R. Kubica",2,0)+IF(Blad1!$BV$19="R. Kubica",1,0)</f>
        <v>0</v>
      </c>
      <c r="BI28" s="561">
        <f>IF(Blad1!$AC$20="R. Kubica",25,0)+IF(Blad1!$AH$20="R. Kubica",18,0)+IF(Blad1!$AM$20="R. Kubica",15,0)+IF(Blad1!$AR$20="R. Kubica",12,0)+IF(Blad1!$AW$20="R. Kubica",10,0)+IF(Blad1!$BB$20="R. Kubica",8,0)+IF(Blad1!$BG$20="R. Kubica",6,0)+IF(Blad1!$BL$20="R. Kubica",4,0)+IF(Blad1!$BQ$20="R. Kubica",2,0)+IF(Blad1!$BV$20="R. Kubica",1,0)</f>
        <v>0</v>
      </c>
      <c r="BJ28" s="562">
        <f>IF(Blad1!$AC$21="R. Kubica",25,0)+IF(Blad1!$AH$21="R. Kubica",18,0)+IF(Blad1!$AM$21="R. Kubica",15,0)+IF(Blad1!$AR$21="R. Kubica",12,0)+IF(Blad1!$AW$21="R. Kubica",10,0)+IF(Blad1!$BB$21="R. Kubica",8,0)+IF(Blad1!$BG$21="R. Kubica",6,0)+IF(Blad1!$BL$21="R. Kubica",4,0)+IF(Blad1!$BQ$21="R. Kubica",2,0)+IF(Blad1!$BV$21="R. Kubica",1,0)</f>
        <v>0</v>
      </c>
      <c r="BK28" s="562">
        <f>IF(Blad1!$AC$22="R. Kubica",25,0)+IF(Blad1!$AH$22="R. Kubica",18,0)+IF(Blad1!$AM$22="R. Kubica",15,0)+IF(Blad1!$AR$22="R. Kubica",12,0)+IF(Blad1!$AW$22="R. Kubica",10,0)+IF(Blad1!$BB$22="R. Kubica",8,0)+IF(Blad1!$BG$22="R. Kubica",6,0)+IF(Blad1!$BL$22="R. Kubica",4,0)+IF(Blad1!$BQ$22="R. Kubica",2,0)+IF(Blad1!$BV$22="R. Kubica",1,0)</f>
        <v>0</v>
      </c>
      <c r="BL28" s="563">
        <f t="shared" si="5"/>
        <v>1</v>
      </c>
      <c r="BN28" s="770"/>
      <c r="BO28" s="771"/>
      <c r="BP28" s="751"/>
      <c r="BQ28" s="751"/>
      <c r="BR28" s="751"/>
      <c r="BS28" s="751"/>
      <c r="BT28" s="751"/>
      <c r="BU28" s="751"/>
      <c r="BV28" s="751"/>
      <c r="BW28" s="751"/>
      <c r="BX28" s="751"/>
      <c r="BY28" s="751"/>
      <c r="BZ28" s="751"/>
      <c r="CA28" s="751"/>
      <c r="CB28" s="751"/>
      <c r="CC28" s="751"/>
      <c r="CD28" s="751"/>
      <c r="CE28" s="751"/>
      <c r="CF28" s="751"/>
      <c r="CG28" s="751"/>
      <c r="CH28" s="751"/>
      <c r="CI28" s="756"/>
      <c r="CJ28" s="754"/>
      <c r="CL28" s="571" t="s">
        <v>528</v>
      </c>
      <c r="CM28" s="612">
        <f>IF(Blad1!Z$2=$CL28,1)*Blad1!EJ$2</f>
        <v>0</v>
      </c>
      <c r="CN28" s="610">
        <f>IF(Blad1!Z$3=$CL28,1)*Blad1!EJ$3</f>
        <v>0</v>
      </c>
      <c r="CO28" s="610">
        <f>IF(Blad1!Z$4=$CL28,1)*Blad1!EJ$4</f>
        <v>0</v>
      </c>
      <c r="CP28" s="610">
        <f>IF(Blad1!Z$5=$CL28,1)*Blad1!EJ$5</f>
        <v>0</v>
      </c>
      <c r="CQ28" s="610">
        <f>IF(Blad1!Z$6=$CL28,1)*Blad1!EJ$6</f>
        <v>0</v>
      </c>
      <c r="CR28" s="610">
        <f>IF(Blad1!Z$7=$CL28,1)*Blad1!EJ$7</f>
        <v>0</v>
      </c>
      <c r="CS28" s="610">
        <f>IF(Blad1!Z$8=$CL28,1)*Blad1!EJ$8</f>
        <v>0</v>
      </c>
      <c r="CT28" s="610">
        <f>IF(Blad1!Z$9=$CL28,1)*Blad1!EJ$9</f>
        <v>0</v>
      </c>
      <c r="CU28" s="610">
        <f>IF(Blad1!Z$10=$CL28,1)*Blad1!EJ$10</f>
        <v>0</v>
      </c>
      <c r="CV28" s="610">
        <f>IF(Blad1!Z$11=$CL28,1)*Blad1!EJ$11</f>
        <v>0</v>
      </c>
      <c r="CW28" s="610">
        <f>IF(Blad1!Z$12=$CL28,1)*Blad1!EJ$12</f>
        <v>0</v>
      </c>
      <c r="CX28" s="610">
        <f>IF(Blad1!Z$13=$CL28,1)*Blad1!EJ$13</f>
        <v>0</v>
      </c>
      <c r="CY28" s="610">
        <f>IF(Blad1!Z$14=$CL28,1)*Blad1!EJ$14</f>
        <v>0</v>
      </c>
      <c r="CZ28" s="610">
        <f>IF(Blad1!Z$15=$CL28,1)*Blad1!EJ$15</f>
        <v>0</v>
      </c>
      <c r="DA28" s="610">
        <f>IF(Blad1!Z$16=$CL28,1)*Blad1!EJ$16</f>
        <v>0</v>
      </c>
      <c r="DB28" s="610">
        <f>IF(Blad1!Z$17=$CL28,1)*Blad1!EJ$17</f>
        <v>0</v>
      </c>
      <c r="DC28" s="610">
        <f>IF(Blad1!Z$18=$CL28,1)*Blad1!EJ$18</f>
        <v>0</v>
      </c>
      <c r="DD28" s="610">
        <f>IF(Blad1!Z$19=$CL28,1)*Blad1!EJ$19</f>
        <v>0</v>
      </c>
      <c r="DE28" s="610">
        <f>IF(Blad1!Z$20=$CL28,1)*Blad1!EJ$20</f>
        <v>0</v>
      </c>
      <c r="DF28" s="610">
        <f>IF(Blad1!Z$21=$CL28,1)*Blad1!EJ$21</f>
        <v>0</v>
      </c>
      <c r="DG28" s="650">
        <f>IF(Blad1!Z$22=$CL28,1)*Blad1!EJ$22</f>
        <v>0</v>
      </c>
      <c r="DH28" s="653">
        <f t="shared" si="6"/>
        <v>0</v>
      </c>
    </row>
    <row r="29" spans="2:112" ht="15" customHeight="1" x14ac:dyDescent="0.2"/>
    <row r="30" spans="2:112" ht="15" customHeight="1" thickBot="1" x14ac:dyDescent="0.25">
      <c r="AD30" s="548"/>
      <c r="AE30" s="548"/>
      <c r="AF30" s="548"/>
    </row>
    <row r="31" spans="2:112" ht="13.5" thickBot="1" x14ac:dyDescent="0.25">
      <c r="AQ31" s="766" t="s">
        <v>268</v>
      </c>
      <c r="AR31" s="767"/>
      <c r="AS31" s="767"/>
      <c r="AT31" s="768"/>
      <c r="AU31" s="564" t="s">
        <v>248</v>
      </c>
      <c r="AV31" s="564" t="s">
        <v>12</v>
      </c>
      <c r="AW31" s="564" t="s">
        <v>269</v>
      </c>
      <c r="AX31" s="565" t="s">
        <v>270</v>
      </c>
    </row>
    <row r="32" spans="2:112" x14ac:dyDescent="0.2">
      <c r="C32" s="566"/>
      <c r="AP32" s="567" t="s">
        <v>66</v>
      </c>
      <c r="AQ32" s="764" t="s">
        <v>266</v>
      </c>
      <c r="AR32" s="765"/>
      <c r="AS32" s="765"/>
      <c r="AT32" s="765"/>
      <c r="AU32" s="691">
        <f t="shared" ref="AU32:AU34" si="190">VLOOKUP(AP32,punten_rijder,23,0)</f>
        <v>281</v>
      </c>
      <c r="AV32" s="691">
        <f>IF(Blad2!$B$5="L. Hamilton",1,0)+IF(Blad2!$B$9="L. Hamilton",1,0)+IF(Blad2!$B$13="L. Hamilton",1,0)+IF(Blad2!$B$17="L. Hamilton",1,0)+IF(Blad2!$B$21="L. Hamilton",1,0)+IF(Blad2!$B$25="L. Hamilton",1,0)+IF(Blad2!$B$29="L. Hamilton",1,0)+IF(Blad2!$B$33="L. Hamilton",1,0)+IF(Blad2!$B$37="L. Hamilton",1,0)+IF(Blad2!$B$41="L. Hamilton",1,0)+IF(Blad2!$B$45="L. Hamilton",1,0)+IF(Blad2!$B$49="L. Hamilton",1,0)+IF(Blad2!$B$53="L. Hamilton",1,0)+IF(Blad2!$B$57="L. Hamilton",1,0)+IF(Blad2!$B$61="L. Hamilton",1,0)+IF(Blad2!$B$65="L. Hamilton",1,0)+IF(Blad2!$B$69="L. Hamilton",1,0)+IF(Blad2!$B$73="L. Hamilton",1,0)+IF(Blad2!$B$77="L. Hamilton",1,0)+IF(Blad2!$B$85="L. Hamilton",1,0)</f>
        <v>4</v>
      </c>
      <c r="AW32" s="691">
        <f>IF(Blad1!$AC$2="L. Hamilton",1,0)+IF(Blad1!$AC$3="L. Hamilton",1)+IF(Blad1!$AC$4="L. Hamilton",1)+IF(Blad1!$AC$5="L. Hamilton",1)+IF(Blad1!$AC$6="L. Hamilton",1)+IF(Blad1!$AC$7="L. Hamilton",1)+IF(Blad1!$AC$8="L. Hamilton",1)+IF(Blad1!$AC$9="L. Hamilton",1)+IF(Blad1!$AC$10="L. Hamilton",1)+IF(Blad1!$AC$11="L. Hamilton",1)+IF(Blad1!$AC$12="L. Hamilton",1)+IF(Blad1!$AC$13="L. Hamilton",1)+IF(Blad1!$AC$14="L. Hamilton",1)+IF(Blad1!$AC$15="L. Hamilton",1)+IF(Blad1!$AC$16="L. Hamilton",1)+IF(Blad1!$AC$17="L. Hamilton",1)+IF(Blad1!$AC$18="L. Hamilton",1)+IF(Blad1!$AC$19="L. Hamilton",1)+IF(Blad1!$AC$20="L. Hamilton",1)+IF(Blad1!$AC$22="L. Hamilton",1)</f>
        <v>8</v>
      </c>
      <c r="AX32" s="692">
        <f>IF(Blad1!$Z$2="L. Hamilton",1,0)+IF(Blad1!$Z$3="L. Hamilton",1)+IF(Blad1!$Z$4="L. Hamilton",1)+IF(Blad1!$Z$5="L. Hamilton",1)+IF(Blad1!$Z$6="L. Hamilton",1)+IF(Blad1!$Z$7="L. Hamilton",1)+IF(Blad1!$Z$8="L. Hamilton",1)+IF(Blad1!$Z$9="L. Hamilton",1)+IF(Blad1!$Z$10="L. Hamilton",1)+IF(Blad1!$Z$11="L. Hamilton",1)+IF(Blad1!$Z$12="L. Hamilton",1)+IF(Blad1!$Z$13="L. Hamilton",1)+IF(Blad1!$Z$14="L. Hamilton",1)+IF(Blad1!$Z$15="L. Hamilton",1)+IF(Blad1!$Z$16="L. Hamilton",1)+IF(Blad1!$Z$17="L. Hamilton",1)+IF(Blad1!$Z$18="L. Hamilton",1)+IF(Blad1!$Z$19="L. Hamilton",1)+IF(Blad1!$Z$20="L. Hamilton",1)+IF(Blad1!$Z$22="L. Hamilton",1)</f>
        <v>3</v>
      </c>
    </row>
    <row r="33" spans="42:56" x14ac:dyDescent="0.2">
      <c r="AP33" s="569" t="s">
        <v>350</v>
      </c>
      <c r="AQ33" s="774" t="s">
        <v>363</v>
      </c>
      <c r="AR33" s="775"/>
      <c r="AS33" s="775"/>
      <c r="AT33" s="775"/>
      <c r="AU33" s="687">
        <f t="shared" si="190"/>
        <v>219</v>
      </c>
      <c r="AV33" s="687">
        <f>IF(Blad2!$B$5="V. Bottas",1,0)+IF(Blad2!$B$9="V. Bottas",1,0)+IF(Blad2!$B$13="V. Bottas",1,0)+IF(Blad2!$B$17="V. Bottas",1,0)+IF(Blad2!$B$21="V. Bottas",1,0)+IF(Blad2!$B$25="V. Bottas",1,0)+IF(Blad2!$B$29="V. Bottas",1,0)+IF(Blad2!$B$33="V. Bottas",1,0)+IF(Blad2!$B$37="V. Bottas",1,0)+IF(Blad2!$B$41="V. Bottas",1,0)+IF(Blad2!$B$45="V. Bottas",1,0)+IF(Blad2!$B$49="V. Bottas",1,0)+IF(Blad2!$B$53="V. Bottas",1,0)+IF(Blad2!$B$57="V. Bottas",1,0)+IF(Blad2!$B$61="V. Bottas",1,0)+IF(Blad2!$B$65="V. Bottas",1,0)+IF(Blad2!$B$69="V. Bottas",1,0)+IF(Blad2!$B$73="V. Bottas",1,0)+IF(Blad2!$B$77="V. Bottas",1,0)+IF(Blad2!$B$85="V. Bottas",1,0)</f>
        <v>4</v>
      </c>
      <c r="AW33" s="687">
        <f>IF(Blad1!$AC$2="V. Bottas",1,0)+IF(Blad1!$AC$3="V. Bottas",1)+IF(Blad1!$AC$4="V. Bottas",1)+IF(Blad1!$AC$5="V. Bottas",1)+IF(Blad1!$AC$6="V. Bottas",1)+IF(Blad1!$AC$7="V. Bottas",1)+IF(Blad1!$AC$8="V. Bottas",1)+IF(Blad1!$AC$9="V. Bottas",1)+IF(Blad1!$AC$10="V. Bottas",1)+IF(Blad1!$AC$11="V. Bottas",1)+IF(Blad1!$AC$12="V. Bottas",1)+IF(Blad1!$AC$13="V. Bottas",1)+IF(Blad1!$AC$14="V. Bottas",1)+IF(Blad1!$AC$15="V. Bottas",1)+IF(Blad1!$AC$16="V. Bottas",1)+IF(Blad1!$AC$17="V. Bottas",1)+IF(Blad1!$AC$18="V. Bottas",1)+IF(Blad1!$AC$19="V. Bottas",1)+IF(Blad1!$AC$20="V. Bottas",1)+IF(Blad1!$AC$22="V. Bottas",1)</f>
        <v>2</v>
      </c>
      <c r="AX33" s="689">
        <f>IF(Blad1!$Z$2="V. Bottas",1,0)+IF(Blad1!$Z$3="V. Bottas",1)+IF(Blad1!$Z$4="V. Bottas",1)+IF(Blad1!$Z$5="V. Bottas",1)+IF(Blad1!$Z$6="V. Bottas",1)+IF(Blad1!$Z$7="V. Bottas",1)+IF(Blad1!$Z$8="V. Bottas",1)+IF(Blad1!$Z$9="V. Bottas",1)+IF(Blad1!$Z$10="V. Bottas",1)+IF(Blad1!$Z$11="V. Bottas",1)+IF(Blad1!$Z$12="V. Bottas",1)+IF(Blad1!$Z$13="V. Bottas",1)+IF(Blad1!$Z$14="V. Bottas",1)+IF(Blad1!$Z$15="V. Bottas",1)+IF(Blad1!$Z$16="V. Bottas",1)+IF(Blad1!$Z$17="V. Bottas",1)+IF(Blad1!$Z$18="V. Bottas",1)+IF(Blad1!$Z$19="V. Bottas",1)+IF(Blad1!$Z$20="V. Bottas",1)+IF(Blad1!$Z$22="V. Bottas",1)</f>
        <v>2</v>
      </c>
    </row>
    <row r="34" spans="42:56" x14ac:dyDescent="0.2">
      <c r="AP34" s="569" t="s">
        <v>67</v>
      </c>
      <c r="AQ34" s="774" t="s">
        <v>267</v>
      </c>
      <c r="AR34" s="775"/>
      <c r="AS34" s="775"/>
      <c r="AT34" s="775"/>
      <c r="AU34" s="687">
        <f t="shared" si="190"/>
        <v>167</v>
      </c>
      <c r="AV34" s="687">
        <f>IF(Blad2!$B$5="S. Vettel",1,0)+IF(Blad2!$B$9="S. Vettel",1,0)+IF(Blad2!$B$13="S. Vettel",1,0)+IF(Blad2!$B$17="S. Vettel",1,0)+IF(Blad2!$B$21="S. Vettel",1,0)+IF(Blad2!$B$25="S. Vettel",1,0)+IF(Blad2!$B$29="S. Vettel",1,0)+IF(Blad2!$B$33="S. Vettel",1,0)+IF(Blad2!$B$37="S. Vettel",1,0)+IF(Blad2!$B$41="S. Vettel",1,0)+IF(Blad2!$B$45="S. Vettel",1,0)+IF(Blad2!$B$49="S. Vettel",1,0)+IF(Blad2!$B$53="S. Vettel",1,0)+IF(Blad2!$B$57="S. Vettel",1,0)+IF(Blad2!$B$61="S. Vettel",1,0)+IF(Blad2!$B$65="S. Vettel",1,0)+IF(Blad2!$B$69="S. Vettel",1,0)+IF(Blad2!$B$73="S. Vettel",1,0)+IF(Blad2!$B$77="S. Vettel",1,0)+IF(Blad2!$B$85="S. Vettel",1,0)</f>
        <v>1</v>
      </c>
      <c r="AW34" s="687">
        <f>IF(Blad1!$AC$2="S. Vettel",1,0)+IF(Blad1!$AC$3="S. Vettel",1)+IF(Blad1!$AC$4="S. Vettel",1)+IF(Blad1!$AC$5="S. Vettel",1)+IF(Blad1!$AC$6="S. Vettel",1)+IF(Blad1!$AC$7="S. Vettel",1)+IF(Blad1!$AC$8="S. Vettel",1)+IF(Blad1!$AC$9="S. Vettel",1)+IF(Blad1!$AC$10="S. Vettel",1)+IF(Blad1!$AC$11="S. Vettel",1)+IF(Blad1!$AC$12="S. Vettel",1)+IF(Blad1!$AC$13="S. Vettel",1)+IF(Blad1!$AC$14="S. Vettel",1)+IF(Blad1!$AC$15="S. Vettel",1)+IF(Blad1!$AC$16="S. Vettel",1)+IF(Blad1!$AC$17="S. Vettel",1)+IF(Blad1!$AC$18="S. Vettel",1)+IF(Blad1!$AC$19="S. Vettel",1)+IF(Blad1!$AC$20="S. Vettel",1)+IF(Blad1!$AC$22="S. Vettel",1)</f>
        <v>0</v>
      </c>
      <c r="AX34" s="689">
        <f>IF(Blad1!$Z$2="S. Vettel",1,0)+IF(Blad1!$Z$3="S. Vettel",1)+IF(Blad1!$Z$4="S. Vettel",1)+IF(Blad1!$Z$5="S. Vettel",1)+IF(Blad1!$Z$6="S. Vettel",1)+IF(Blad1!$Z$7="S. Vettel",1)+IF(Blad1!$Z$8="S. Vettel",1)+IF(Blad1!$Z$9="S. Vettel",1)+IF(Blad1!$Z$10="S. Vettel",1)+IF(Blad1!$Z$11="S. Vettel",1)+IF(Blad1!$Z$12="S. Vettel",1)+IF(Blad1!$Z$13="S. Vettel",1)+IF(Blad1!$Z$14="S. Vettel",1)+IF(Blad1!$Z$15="S. Vettel",1)+IF(Blad1!$Z$16="S. Vettel",1)+IF(Blad1!$Z$17="S. Vettel",1)+IF(Blad1!$Z$18="S. Vettel",1)+IF(Blad1!$Z$19="S. Vettel",1)+IF(Blad1!$Z$20="S. Vettel",1)+IF(Blad1!$Z$22="S. Vettel",1)</f>
        <v>2</v>
      </c>
    </row>
    <row r="35" spans="42:56" x14ac:dyDescent="0.2">
      <c r="AP35" s="569" t="s">
        <v>500</v>
      </c>
      <c r="AQ35" s="774" t="s">
        <v>514</v>
      </c>
      <c r="AR35" s="775"/>
      <c r="AS35" s="775"/>
      <c r="AT35" s="775"/>
      <c r="AU35" s="687">
        <f t="shared" ref="AU35:AU51" si="191">VLOOKUP(AP35,punten_rijder,23,0)</f>
        <v>180</v>
      </c>
      <c r="AV35" s="687">
        <f>IF(Blad2!$B$5="C. Leclerc",1,0)+IF(Blad2!$B$9="C. Leclerc",1,0)+IF(Blad2!$B$13="C. Leclerc",1,0)+IF(Blad2!$B$17="C. Leclerc",1,0)+IF(Blad2!$B$21="C. Leclerc",1,0)+IF(Blad2!$B$25="C. Leclerc",1,0)+IF(Blad2!$B$29="C. Leclerc",1,0)+IF(Blad2!$B$33="C. Leclerc",1,0)+IF(Blad2!$B$37="C. Leclerc",1,0)+IF(Blad2!$B$41="C. Leclerc",1,0)+IF(Blad2!$B$45="C. Leclerc",1,0)+IF(Blad2!$B$49="C. Leclerc",1,0)+IF(Blad2!$B$53="C. Leclerc",1,0)+IF(Blad2!$B$57="C. Leclerc",1,0)+IF(Blad2!$B$61="C. Leclerc",1,0)+IF(Blad2!$B$65="C. Leclerc",1,0)+IF(Blad2!$B$69="C. Leclerc",1,0)+IF(Blad2!$B$73="C. Leclerc",1,0)+IF(Blad2!$B$77="C. Leclerc",1,0)+IF(Blad2!$B$85="C. Leclerc",1,0)</f>
        <v>4</v>
      </c>
      <c r="AW35" s="687">
        <f>IF(Blad1!$AC$2="C. Leclerc",1,0)+IF(Blad1!$AC$3="C. Leclerc",1)+IF(Blad1!$AC$4="C. Leclerc",1)+IF(Blad1!$AC$5="C. Leclerc",1)+IF(Blad1!$AC$6="C. Leclerc",1)+IF(Blad1!$AC$7="C. Leclerc",1)+IF(Blad1!$AC$8="C. Leclerc",1)+IF(Blad1!$AC$9="C. Leclerc",1)+IF(Blad1!$AC$10="C. Leclerc",1)+IF(Blad1!$AC$11="C. Leclerc",1)+IF(Blad1!$AC$12="C. Leclerc",1)+IF(Blad1!$AC$13="C. Leclerc",1)+IF(Blad1!$AC$14="C. Leclerc",1)+IF(Blad1!$AC$15="C. Leclerc",1)+IF(Blad1!$AC$16="C. Leclerc",1)+IF(Blad1!$AC$17="C. Leclerc",1)+IF(Blad1!$AC$18="C. Leclerc",1)+IF(Blad1!$AC$19="C. Leclerc",1)+IF(Blad1!$AC$20="C. Leclerc",1)+IF(Blad1!$AC$22="C. Leclerc",1)</f>
        <v>2</v>
      </c>
      <c r="AX35" s="689">
        <f>IF(Blad1!$Z$2="C. Leclerc",1,0)+IF(Blad1!$Z$3="C. Leclerc",1)+IF(Blad1!$Z$4="C. Leclerc",1)+IF(Blad1!$Z$5="C. Leclerc",1)+IF(Blad1!$Z$6="C. Leclerc",1)+IF(Blad1!$Z$7="C. Leclerc",1)+IF(Blad1!$Z$8="C. Leclerc",1)+IF(Blad1!$Z$9="C. Leclerc",1)+IF(Blad1!$Z$10="C. Leclerc",1)+IF(Blad1!$Z$11="C. Leclerc",1)+IF(Blad1!$Z$12="C. Leclerc",1)+IF(Blad1!$Z$13="C. Leclerc",1)+IF(Blad1!$Z$14="C. Leclerc",1)+IF(Blad1!$Z$15="C. Leclerc",1)+IF(Blad1!$Z$16="C. Leclerc",1)+IF(Blad1!$Z$17="C. Leclerc",1)+IF(Blad1!$Z$18="C. Leclerc",1)+IF(Blad1!$Z$19="C. Leclerc",1)+IF(Blad1!$Z$20="C. Leclerc",1)+IF(Blad1!$Z$22="C. Leclerc",1)</f>
        <v>2</v>
      </c>
    </row>
    <row r="36" spans="42:56" ht="13.5" thickBot="1" x14ac:dyDescent="0.25">
      <c r="AP36" s="569" t="s">
        <v>390</v>
      </c>
      <c r="AQ36" s="774" t="s">
        <v>392</v>
      </c>
      <c r="AR36" s="775"/>
      <c r="AS36" s="775"/>
      <c r="AT36" s="775"/>
      <c r="AU36" s="687">
        <f t="shared" si="191"/>
        <v>182</v>
      </c>
      <c r="AV36" s="687">
        <f>IF(Blad2!$B$5="M. Verstappen",1,0)+IF(Blad2!$B$9="M. Verstappen",1,0)+IF(Blad2!$B$13="M. Verstappen",1,0)+IF(Blad2!$B$17="M. Verstappen",1,0)+IF(Blad2!$B$21="M. Verstappen",1,0)+IF(Blad2!$B$25="M. Verstappen",1,0)+IF(Blad2!$B$29="M. Verstappen",1,0)+IF(Blad2!$B$33="M. Verstappen",1,0)+IF(Blad2!$B$37="M. Verstappen",1,0)+IF(Blad2!$B$41="M. Verstappen",1,0)+IF(Blad2!$B$45="M. Verstappen",1,0)+IF(Blad2!$B$49="M. Verstappen",1,0)+IF(Blad2!$B$53="M. Verstappen",1,0)+IF(Blad2!$B$57="M. Verstappen",1,0)+IF(Blad2!$B$61="M. Verstappen",1,0)+IF(Blad2!$B$65="M. Verstappen",1,0)+IF(Blad2!$B$69="M. Verstappen",1,0)+IF(Blad2!$B$73="M. Verstappen",1,0)+IF(Blad2!$B$77="M. Verstappen",1,0)+IF(Blad2!$B$85="M. Verstappen",1,0)</f>
        <v>1</v>
      </c>
      <c r="AW36" s="687">
        <f>IF(Blad1!$AC$2="M. Verstappen",1,0)+IF(Blad1!$AC$3="M. Verstappen",1)+IF(Blad1!$AC$4="M. Verstappen",1)+IF(Blad1!$AC$5="M. Verstappen",1)+IF(Blad1!$AC$6="M. Verstappen",1)+IF(Blad1!$AC$7="M. Verstappen",1)+IF(Blad1!$AC$8="M. Verstappen",1)+IF(Blad1!$AC$9="M. Verstappen",1)+IF(Blad1!$AC$10="M. Verstappen",1)+IF(Blad1!$AC$11="M. Verstappen",1)+IF(Blad1!$AC$12="M. Verstappen",1)+IF(Blad1!$AC$13="M. Verstappen",1)+IF(Blad1!$AC$14="M. Verstappen",1)+IF(Blad1!$AC$15="M. Verstappen",1)+IF(Blad1!$AC$16="M. Verstappen",1)+IF(Blad1!$AC$17="M. Verstappen",1)+IF(Blad1!$AC$18="M. Verstappen",1)+IF(Blad1!$AC$19="M. Verstappen",1)+IF(Blad1!$AC$20="M. Verstappen",1)+IF(Blad1!$AC$22="M. Verstappen",1)</f>
        <v>2</v>
      </c>
      <c r="AX36" s="689">
        <f>IF(Blad1!$Z$2="M. Verstappen",1,0)+IF(Blad1!$Z$3="M. Verstappen",1)+IF(Blad1!$Z$4="M. Verstappen",1)+IF(Blad1!$Z$5="M. Verstappen",1)+IF(Blad1!$Z$6="M. Verstappen",1)+IF(Blad1!$Z$7="M. Verstappen",1)+IF(Blad1!$Z$8="M. Verstappen",1)+IF(Blad1!$Z$9="M. Verstappen",1)+IF(Blad1!$Z$10="M. Verstappen",1)+IF(Blad1!$Z$11="M. Verstappen",1)+IF(Blad1!$Z$12="M. Verstappen",1)+IF(Blad1!$Z$13="M. Verstappen",1)+IF(Blad1!$Z$14="M. Verstappen",1)+IF(Blad1!$Z$15="M. Verstappen",1)+IF(Blad1!$Z$16="M. Verstappen",1)+IF(Blad1!$Z$17="M. Verstappen",1)+IF(Blad1!$Z$18="M. Verstappen",1)+IF(Blad1!$Z$19="M. Verstappen",1)+IF(Blad1!$Z$20="M. Verstappen",1)+IF(Blad1!$Z$22="M. Verstappen",1)</f>
        <v>3</v>
      </c>
    </row>
    <row r="37" spans="42:56" ht="13.5" thickBot="1" x14ac:dyDescent="0.25">
      <c r="AP37" s="569" t="s">
        <v>496</v>
      </c>
      <c r="AQ37" s="774" t="s">
        <v>515</v>
      </c>
      <c r="AR37" s="775"/>
      <c r="AS37" s="775"/>
      <c r="AT37" s="775"/>
      <c r="AU37" s="687">
        <f t="shared" si="191"/>
        <v>63</v>
      </c>
      <c r="AV37" s="697">
        <f>AY37+BB37</f>
        <v>0</v>
      </c>
      <c r="AW37" s="697">
        <f t="shared" ref="AW37:AX37" si="192">AZ37+BC37</f>
        <v>0</v>
      </c>
      <c r="AX37" s="698">
        <f t="shared" si="192"/>
        <v>2</v>
      </c>
      <c r="AY37" s="703">
        <f>IF(Blad2!$B$5="P. Gasly",1,0)+IF(Blad2!$B$9="P. Gasly",1,0)+IF(Blad2!$B$13="P. Gasly",1,0)+IF(Blad2!$B$17="P. Gasly",1,0)+IF(Blad2!$B$21="P. Gasly",1,0)+IF(Blad2!$B$25="P. Gasly",1,0)+IF(Blad2!$B$29="P. Gasly",1,0)+IF(Blad2!$B$33="P. Gasly",1,0)+IF(Blad2!$B$37="P. Gasly",1,0)+IF(Blad2!$B$41="P. Gasly",1,0)+IF(Blad2!$B$45="P. Gasly",1,0)+IF(Blad2!$B$49="P. Gasly",1,0)+IF(Blad2!$B$53="P. Gasly",1,0)+IF(Blad2!$B$57="P. Gasly",1,0)+IF(Blad2!$B$61="P. Gasly",1,0)+IF(Blad2!$B$65="P. Gasly",1,0)+IF(Blad2!$B$69="P. Gasly",1,0)+IF(Blad2!$B$73="P. Gasly",1,0)+IF(Blad2!$B$77="P. Gasly",1,0)+IF(Blad2!$B$85="P. Gasly",1,0)</f>
        <v>0</v>
      </c>
      <c r="AZ37" s="704">
        <f>IF(Blad1!$AC$2="P. Gasly",1,0)+IF(Blad1!$AC$3="P. Gasly",1)+IF(Blad1!$AC$4="P. Gasly",1)+IF(Blad1!$AC$5="P. Gasly",1)+IF(Blad1!$AC$6="P. Gasly",1)+IF(Blad1!$AC$7="P. Gasly",1)+IF(Blad1!$AC$8="P. Gasly",1)+IF(Blad1!$AC$9="P. Gasly",1)+IF(Blad1!$AC$10="P. Gasly",1)+IF(Blad1!$AC$11="P. Gasly",1)+IF(Blad1!$AC$12="P. Gasly",1)+IF(Blad1!$AC$13="P. Gasly",1)+IF(Blad1!$AC$14="P. Gasly",1)+IF(Blad1!$AC$15="P. Gasly",1)+IF(Blad1!$AC$16="P. Gasly",1)+IF(Blad1!$AC$17="P. Gasly",1)+IF(Blad1!$AC$18="P. Gasly",1)+IF(Blad1!$AC$19="P. Gasly",1)+IF(Blad1!$AC$20="P. Gasly",1)+IF(Blad1!$AC$22="P. Gasly",1)</f>
        <v>0</v>
      </c>
      <c r="BA37" s="705">
        <f>IF(Blad1!$Z$2="P. Gasly",1,0)+IF(Blad1!$Z$3="P. Gasly",1)+IF(Blad1!$Z$4="P. Gasly",1)+IF(Blad1!$Z$5="P. Gasly",1)+IF(Blad1!$Z$6="P. Gasly",1)+IF(Blad1!$Z$7="P. Gasly",1)+IF(Blad1!$Z$8="P. Gasly",1)+IF(Blad1!$Z$9="P. Gasly",1)+IF(Blad1!$Z$10="P. Gasly",1)+IF(Blad1!$Z$11="P. Gasly",1)+IF(Blad1!$Z$12="P. Gasly",1)+IF(Blad1!$Z$13="P. Gasly",1)+IF(Blad1!$Z$14="P. Gasly",1)+IF(Blad1!$Z$15="P. Gasly",1)+IF(Blad1!$Z$16="P. Gasly",1)+IF(Blad1!$Z$17="P. Gasly",1)+IF(Blad1!$Z$18="P. Gasly",1)+IF(Blad1!$Z$19="P. Gasly",1)+IF(Blad1!$Z$20="P. Gasly",1)+IF(Blad1!$Z$22="P. Gasly",1)</f>
        <v>2</v>
      </c>
      <c r="BB37" s="706">
        <f>IF(Blad2!$B$5="P. Gasly¹",1,0)+IF(Blad2!$B$9="P. Gasly¹",1,0)+IF(Blad2!$B$13="P. Gasly¹",1,0)+IF(Blad2!$B$17="P. Gasly¹",1,0)+IF(Blad2!$B$21="P. Gasly¹",1,0)+IF(Blad2!$B$25="P. Gasly¹",1,0)+IF(Blad2!$B$29="P. Gasly¹",1,0)+IF(Blad2!$B$33="P. Gasly¹",1,0)+IF(Blad2!$B$37="P. Gasly¹",1,0)+IF(Blad2!$B$41="P. Gasly¹",1,0)+IF(Blad2!$B$45="P. Gasly¹",1,0)+IF(Blad2!$B$49="P. Gasly¹",1,0)+IF(Blad2!$B$53="P. Gasly¹",1,0)+IF(Blad2!$B$57="P. Gasly¹",1,0)+IF(Blad2!$B$61="P. Gasly¹",1,0)+IF(Blad2!$B$65="P. Gasly¹",1,0)+IF(Blad2!$B$69="P. Gasly¹",1,0)+IF(Blad2!$B$73="P. Gasly¹",1,0)+IF(Blad2!$B$77="P. Gasly¹",1,0)+IF(Blad2!$B$85="P. Gasly¹",1,0)</f>
        <v>0</v>
      </c>
      <c r="BC37" s="706">
        <f>IF(Blad1!$AC$2="P. Gasly¹",1,0)+IF(Blad1!$AC$3="P. Gasly¹",1)+IF(Blad1!$AC$4="P. Gasly¹",1)+IF(Blad1!$AC$5="P. Gasly¹",1)+IF(Blad1!$AC$6="P. Gasly¹",1)+IF(Blad1!$AC$7="P. Gasly¹",1)+IF(Blad1!$AC$8="P. Gasly¹",1)+IF(Blad1!$AC$9="P. Gasly¹",1)+IF(Blad1!$AC$10="P. Gasly¹",1)+IF(Blad1!$AC$11="P. Gasly¹",1)+IF(Blad1!$AC$12="P. Gasly¹",1)+IF(Blad1!$AC$13="P. Gasly¹",1)+IF(Blad1!$AC$14="P. Gasly¹",1)+IF(Blad1!$AC$15="P. Gasly¹",1)+IF(Blad1!$AC$16="P. Gasly¹",1)+IF(Blad1!$AC$17="P. Gasly¹",1)+IF(Blad1!$AC$18="P. Gasly¹",1)+IF(Blad1!$AC$19="P. Gasly¹",1)+IF(Blad1!$AC$20="P. Gasly¹",1)+IF(Blad1!$AC$22="P. Gasly¹",1)</f>
        <v>0</v>
      </c>
      <c r="BD37" s="707">
        <f>IF(Blad1!$Z$2="P. Gasly¹",1,0)+IF(Blad1!$Z$3="P. Gasly¹",1)+IF(Blad1!$Z$4="P. Gasly¹",1)+IF(Blad1!$Z$5="P. Gasly¹",1)+IF(Blad1!$Z$6="P. Gasly¹",1)+IF(Blad1!$Z$7="P. Gasly¹",1)+IF(Blad1!$Z$8="P. Gasly¹",1)+IF(Blad1!$Z$9="P. Gasly¹",1)+IF(Blad1!$Z$10="P. Gasly¹",1)+IF(Blad1!$Z$11="P. Gasly¹",1)+IF(Blad1!$Z$12="P. Gasly¹",1)+IF(Blad1!$Z$13="P. Gasly¹",1)+IF(Blad1!$Z$14="P. Gasly¹",1)+IF(Blad1!$Z$15="P. Gasly¹",1)+IF(Blad1!$Z$16="P. Gasly¹",1)+IF(Blad1!$Z$17="P. Gasly¹",1)+IF(Blad1!$Z$18="P. Gasly¹",1)+IF(Blad1!$Z$19="P. Gasly¹",1)+IF(Blad1!$Z$20="P. Gasly¹",1)+IF(Blad1!$Z$22="P. Gasly¹",1)</f>
        <v>0</v>
      </c>
    </row>
    <row r="38" spans="42:56" x14ac:dyDescent="0.2">
      <c r="AP38" s="569" t="s">
        <v>348</v>
      </c>
      <c r="AQ38" s="774" t="s">
        <v>360</v>
      </c>
      <c r="AR38" s="775"/>
      <c r="AS38" s="775"/>
      <c r="AT38" s="775"/>
      <c r="AU38" s="687">
        <f t="shared" si="191"/>
        <v>34</v>
      </c>
      <c r="AV38" s="687">
        <f>IF(Blad2!$B$5="D. Ricciardo",1,0)+IF(Blad2!$B$9="D. Ricciardo",1,0)+IF(Blad2!$B$13="D. Ricciardo",1,0)+IF(Blad2!$B$17="D. Ricciardo",1,0)+IF(Blad2!$B$21="D. Ricciardo",1,0)+IF(Blad2!$B$25="D. Ricciardo",1,0)+IF(Blad2!$B$29="D. Ricciardo",1,0)+IF(Blad2!$B$33="D. Ricciardo",1,0)+IF(Blad2!$B$37="D. Ricciardo",1,0)+IF(Blad2!$B$41="D. Ricciardo",1,0)+IF(Blad2!$B$45="D. Ricciardo",1,0)+IF(Blad2!$B$49="D. Ricciardo",1,0)+IF(Blad2!$B$53="D. Ricciardo",1,0)+IF(Blad2!$B$57="D. Ricciardo",1,0)+IF(Blad2!$B$61="D. Ricciardo",1,0)+IF(Blad2!$B$65="D. Ricciardo",1,0)+IF(Blad2!$B$69="D. Ricciardo",1,0)+IF(Blad2!$B$73="D. Ricciardo",1,0)+IF(Blad2!$B$77="D. Ricciardo",1,0)+IF(Blad2!$B$85="D. Ricciardo",1,0)</f>
        <v>0</v>
      </c>
      <c r="AW38" s="687">
        <f>IF(Blad1!$AC$2="D. Ricciardo",1,0)+IF(Blad1!$AC$3="D. Ricciardo",1)+IF(Blad1!$AC$4="D. Ricciardo",1)+IF(Blad1!$AC$5="D. Ricciardo",1)+IF(Blad1!$AC$6="D. Ricciardo",1)+IF(Blad1!$AC$7="D. Ricciardo",1)+IF(Blad1!$AC$8="D. Ricciardo",1)+IF(Blad1!$AC$9="D. Ricciardo",1)+IF(Blad1!$AC$10="D. Ricciardo",1)+IF(Blad1!$AC$11="D. Ricciardo",1)+IF(Blad1!$AC$12="D. Ricciardo",1)+IF(Blad1!$AC$13="D. Ricciardo",1)+IF(Blad1!$AC$14="D. Ricciardo",1)+IF(Blad1!$AC$15="D. Ricciardo",1)+IF(Blad1!$AC$16="D. Ricciardo",1)+IF(Blad1!$AC$17="D. Ricciardo",1)+IF(Blad1!$AC$18="D. Ricciardo",1)+IF(Blad1!$AC$19="D. Ricciardo",1)+IF(Blad1!$AC$20="D. Ricciardo",1)+IF(Blad1!$AC$22="D. Ricciardo",1)</f>
        <v>0</v>
      </c>
      <c r="AX38" s="689">
        <f>IF(Blad1!$Z$2="D. Ricciardo",1,0)+IF(Blad1!$Z$3="D. Ricciardo",1)+IF(Blad1!$Z$4="D. Ricciardo",1)+IF(Blad1!$Z$5="D. Ricciardo",1)+IF(Blad1!$Z$6="D. Ricciardo",1)+IF(Blad1!$Z$7="D. Ricciardo",1)+IF(Blad1!$Z$8="D. Ricciardo",1)+IF(Blad1!$Z$9="D. Ricciardo",1)+IF(Blad1!$Z$10="D. Ricciardo",1)+IF(Blad1!$Z$11="D. Ricciardo",1)+IF(Blad1!$Z$12="D. Ricciardo",1)+IF(Blad1!$Z$13="D. Ricciardo",1)+IF(Blad1!$Z$14="D. Ricciardo",1)+IF(Blad1!$Z$15="D. Ricciardo",1)+IF(Blad1!$Z$16="D. Ricciardo",1)+IF(Blad1!$Z$17="D. Ricciardo",1)+IF(Blad1!$Z$18="D. Ricciardo",1)+IF(Blad1!$Z$19="D. Ricciardo",1)+IF(Blad1!$Z$20="D. Ricciardo",1)+IF(Blad1!$Z$22="D. Ricciardo",1)</f>
        <v>0</v>
      </c>
      <c r="AY38" s="570"/>
      <c r="AZ38" s="366"/>
    </row>
    <row r="39" spans="42:56" x14ac:dyDescent="0.2">
      <c r="AP39" s="569" t="s">
        <v>329</v>
      </c>
      <c r="AQ39" s="774" t="s">
        <v>358</v>
      </c>
      <c r="AR39" s="775"/>
      <c r="AS39" s="775"/>
      <c r="AT39" s="775"/>
      <c r="AU39" s="687">
        <f t="shared" si="191"/>
        <v>31</v>
      </c>
      <c r="AV39" s="687">
        <f>IF(Blad2!$B$5="N. Hulkenberg",1,0)+IF(Blad2!$B$9="N. Hulkenberg",1,0)+IF(Blad2!$B$13="N. Hulkenberg",1,0)+IF(Blad2!$B$17="N. Hulkenberg",1,0)+IF(Blad2!$B$21="N. Hulkenberg",1,0)+IF(Blad2!$B$25="N. Hulkenberg",1,0)+IF(Blad2!$B$29="N. Hulkenberg",1,0)+IF(Blad2!$B$33="N. Hulkenberg",1,0)+IF(Blad2!$B$37="N. Hulkenberg",1,0)+IF(Blad2!$B$41="N. Hulkenberg",1,0)+IF(Blad2!$B$45="N. Hulkenberg",1,0)+IF(Blad2!$B$49="N. Hulkenberg",1,0)+IF(Blad2!$B$53="N. Hulkenberg",1,0)+IF(Blad2!$B$57="N. Hulkenberg",1,0)+IF(Blad2!$B$61="N. Hulkenberg",1,0)+IF(Blad2!$B$65="N. Hulkenberg",1,0)+IF(Blad2!$B$69="N. Hulkenberg",1,0)+IF(Blad2!$B$73="N. Hulkenberg",1,0)+IF(Blad2!$B$77="N. Hulkenberg",1,0)+IF(Blad2!$B$85="N. Hulkenberg",1,0)</f>
        <v>0</v>
      </c>
      <c r="AW39" s="687">
        <f>IF(Blad1!$AC$2="N. Hulkenberg",1,0)+IF(Blad1!$AC$3="N. Hulkenberg",1)+IF(Blad1!$AC$4="N. Hulkenberg",1)+IF(Blad1!$AC$5="N. Hulkenberg",1)+IF(Blad1!$AC$6="N. Hulkenberg",1)+IF(Blad1!$AC$7="N. Hulkenberg",1)+IF(Blad1!$AC$8="N. Hulkenberg",1)+IF(Blad1!$AC$9="N. Hulkenberg",1)+IF(Blad1!$AC$10="N. Hulkenberg",1)+IF(Blad1!$AC$11="N. Hulkenberg",1)+IF(Blad1!$AC$12="N. Hulkenberg",1)+IF(Blad1!$AC$13="N. Hulkenberg",1)+IF(Blad1!$AC$14="N. Hulkenberg",1)+IF(Blad1!$AC$15="N. Hulkenberg",1)+IF(Blad1!$AC$16="N. Hulkenberg",1)+IF(Blad1!$AC$17="N. Hulkenberg",1)+IF(Blad1!$AC$18="N. Hulkenberg",1)+IF(Blad1!$AC$19="N. Hulkenberg",1)+IF(Blad1!$AC$20="N. Hulkenberg",1)+IF(Blad1!$AC$22="N. Hulkenberg",1)</f>
        <v>0</v>
      </c>
      <c r="AX39" s="689">
        <f>IF(Blad1!$Z$2="N. Hulkenberg",1,0)+IF(Blad1!$Z$3="N. Hulkenberg",1)+IF(Blad1!$Z$4="N. Hulkenberg",1)+IF(Blad1!$Z$5="N. Hulkenberg",1)+IF(Blad1!$Z$6="N. Hulkenberg",1)+IF(Blad1!$Z$7="N. Hulkenberg",1)+IF(Blad1!$Z$8="N. Hulkenberg",1)+IF(Blad1!$Z$9="N. Hulkenberg",1)+IF(Blad1!$Z$10="N. Hulkenberg",1)+IF(Blad1!$Z$11="N. Hulkenberg",1)+IF(Blad1!$Z$12="N. Hulkenberg",1)+IF(Blad1!$Z$13="N. Hulkenberg",1)+IF(Blad1!$Z$14="N. Hulkenberg",1)+IF(Blad1!$Z$15="N. Hulkenberg",1)+IF(Blad1!$Z$16="N. Hulkenberg",1)+IF(Blad1!$Z$17="N. Hulkenberg",1)+IF(Blad1!$Z$18="N. Hulkenberg",1)+IF(Blad1!$Z$19="N. Hulkenberg",1)+IF(Blad1!$Z$20="N. Hulkenberg",1)+IF(Blad1!$Z$22="N. Hulkenberg",1)</f>
        <v>0</v>
      </c>
    </row>
    <row r="40" spans="42:56" x14ac:dyDescent="0.2">
      <c r="AP40" s="569" t="s">
        <v>349</v>
      </c>
      <c r="AQ40" s="774" t="s">
        <v>357</v>
      </c>
      <c r="AR40" s="775"/>
      <c r="AS40" s="775"/>
      <c r="AT40" s="775"/>
      <c r="AU40" s="687">
        <f t="shared" si="191"/>
        <v>8</v>
      </c>
      <c r="AV40" s="687">
        <f>IF(Blad2!$B$5="R. Grosjean",1,0)+IF(Blad2!$B$9="R. Grosjean",1,0)+IF(Blad2!$B$13="R. Grosjean",1,0)+IF(Blad2!$B$17="R. Grosjean",1,0)+IF(Blad2!$B$21="R. Grosjean",1,0)+IF(Blad2!$B$25="R. Grosjean",1,0)+IF(Blad2!$B$29="R. Grosjean",1,0)+IF(Blad2!$B$33="R. Grosjean",1,0)+IF(Blad2!$B$37="R. Grosjean",1,0)+IF(Blad2!$B$41="R. Grosjean",1,0)+IF(Blad2!$B$45="R. Grosjean",1,0)+IF(Blad2!$B$49="R. Grosjean",1,0)+IF(Blad2!$B$53="R. Grosjean",1,0)+IF(Blad2!$B$57="R. Grosjean",1,0)+IF(Blad2!$B$61="R. Grosjean",1,0)+IF(Blad2!$B$65="R. Grosjean",1,0)+IF(Blad2!$B$69="R. Grosjean",1,0)+IF(Blad2!$B$73="R. Grosjean",1,0)+IF(Blad2!$B$77="R. Grosjean",1,0)+IF(Blad2!$B$85="R. Grosjean",1,0)</f>
        <v>0</v>
      </c>
      <c r="AW40" s="687">
        <f>IF(Blad1!$AC$2="R. Grosjean",1,0)+IF(Blad1!$AC$3="R. Grosjean",1)+IF(Blad1!$AC$4="R. Grosjean",1)+IF(Blad1!$AC$5="R. Grosjean",1)+IF(Blad1!$AC$6="R. Grosjean",1)+IF(Blad1!$AC$7="R. Grosjean",1)+IF(Blad1!$AC$8="R. Grosjean",1)+IF(Blad1!$AC$9="R. Grosjean",1)+IF(Blad1!$AC$10="R. Grosjean",1)+IF(Blad1!$AC$11="R. Grosjean",1)+IF(Blad1!$AC$12="R. Grosjean",1)+IF(Blad1!$AC$13="R. Grosjean",1)+IF(Blad1!$AC$14="R. Grosjean",1)+IF(Blad1!$AC$15="R. Grosjean",1)+IF(Blad1!$AC$16="R. Grosjean",1)+IF(Blad1!$AC$17="R. Grosjean",1)+IF(Blad1!$AC$18="R. Grosjean",1)+IF(Blad1!$AC$19="R. Grosjean",1)+IF(Blad1!$AC$20="R. Grosjean",1)+IF(Blad1!$AC$22="R. Grosjean",1)</f>
        <v>0</v>
      </c>
      <c r="AX40" s="689">
        <f>IF(Blad1!$Z$2="R. Grosjean",1,0)+IF(Blad1!$Z$3="R. Grosjean",1)+IF(Blad1!$Z$4="R. Grosjean",1)+IF(Blad1!$Z$5="R. Grosjean",1)+IF(Blad1!$Z$6="R. Grosjean",1)+IF(Blad1!$Z$7="R. Grosjean",1)+IF(Blad1!$Z$8="R. Grosjean",1)+IF(Blad1!$Z$9="R. Grosjean",1)+IF(Blad1!$Z$10="R. Grosjean",1)+IF(Blad1!$Z$11="R. Grosjean",1)+IF(Blad1!$Z$12="R. Grosjean",1)+IF(Blad1!$Z$13="R. Grosjean",1)+IF(Blad1!$Z$14="R. Grosjean",1)+IF(Blad1!$Z$15="R. Grosjean",1)+IF(Blad1!$Z$16="R. Grosjean",1)+IF(Blad1!$Z$17="R. Grosjean",1)+IF(Blad1!$Z$18="R. Grosjean",1)+IF(Blad1!$Z$19="R. Grosjean",1)+IF(Blad1!$Z$20="R. Grosjean",1)+IF(Blad1!$Z$22="R. Grosjean",1)</f>
        <v>0</v>
      </c>
    </row>
    <row r="41" spans="42:56" x14ac:dyDescent="0.2">
      <c r="AP41" s="569" t="s">
        <v>369</v>
      </c>
      <c r="AQ41" s="774" t="s">
        <v>441</v>
      </c>
      <c r="AR41" s="775"/>
      <c r="AS41" s="775"/>
      <c r="AT41" s="775"/>
      <c r="AU41" s="687">
        <f t="shared" si="191"/>
        <v>18</v>
      </c>
      <c r="AV41" s="687">
        <f>IF(Blad2!$B$5="K. Magnussen",1,0)+IF(Blad2!$B$9="K. Magnussen",1,0)+IF(Blad2!$B$13="K. Magnussen",1,0)+IF(Blad2!$B$17="K. Magnussen",1,0)+IF(Blad2!$B$21="K. Magnussen",1,0)+IF(Blad2!$B$25="K. Magnussen",1,0)+IF(Blad2!$B$29="K. Magnussen",1,0)+IF(Blad2!$B$33="K. Magnussen",1,0)+IF(Blad2!$B$37="K. Magnussen",1,0)+IF(Blad2!$B$41="K. Magnussen",1,0)+IF(Blad2!$B$45="K. Magnussen",1,0)+IF(Blad2!$B$49="K. Magnussen",1,0)+IF(Blad2!$B$53="K. Magnussen",1,0)+IF(Blad2!$B$57="K. Magnussen",1,0)+IF(Blad2!$B$61="K. Magnussen",1,0)+IF(Blad2!$B$65="K. Magnussen",1,0)+IF(Blad2!$B$69="K. Magnussen",1,0)+IF(Blad2!$B$73="K. Magnussen",1,0)+IF(Blad2!$B$77="K. Magnussen",1,0)+IF(Blad2!$B$85="K. Magnussen",1,0)</f>
        <v>0</v>
      </c>
      <c r="AW41" s="687">
        <f>IF(Blad1!$AC$2="K. Magnussen",1,0)+IF(Blad1!$AC$3="K. Magnussen",1)+IF(Blad1!$AC$4="K. Magnussen",1)+IF(Blad1!$AC$5="K. Magnussen",1)+IF(Blad1!$AC$6="K. Magnussen",1)+IF(Blad1!$AC$7="K. Magnussen",1)+IF(Blad1!$AC$8="K. Magnussen",1)+IF(Blad1!$AC$9="K. Magnussen",1)+IF(Blad1!$AC$10="K. Magnussen",1)+IF(Blad1!$AC$11="K. Magnussen",1)+IF(Blad1!$AC$12="K. Magnussen",1)+IF(Blad1!$AC$13="K. Magnussen",1)+IF(Blad1!$AC$14="K. Magnussen",1)+IF(Blad1!$AC$15="K. Magnussen",1)+IF(Blad1!$AC$16="K. Magnussen",1)+IF(Blad1!$AC$17="K. Magnussen",1)+IF(Blad1!$AC$18="K. Magnussen",1)+IF(Blad1!$AC$19="K. Magnussen",1)+IF(Blad1!$AC$20="K. Magnussen",1)+IF(Blad1!$AC$22="K. Magnussen",1)</f>
        <v>0</v>
      </c>
      <c r="AX41" s="689">
        <f>IF(Blad1!$Z$2="K. Magnussen",1,0)+IF(Blad1!$Z$3="K. Magnussen",1)+IF(Blad1!$Z$4="K. Magnussen",1)+IF(Blad1!$Z$5="K. Magnussen",1)+IF(Blad1!$Z$6="K. Magnussen",1)+IF(Blad1!$Z$7="K. Magnussen",1)+IF(Blad1!$Z$8="K. Magnussen",1)+IF(Blad1!$Z$9="K. Magnussen",1)+IF(Blad1!$Z$10="K. Magnussen",1)+IF(Blad1!$Z$11="K. Magnussen",1)+IF(Blad1!$Z$12="K. Magnussen",1)+IF(Blad1!$Z$13="K. Magnussen",1)+IF(Blad1!$Z$14="K. Magnussen",1)+IF(Blad1!$Z$15="K. Magnussen",1)+IF(Blad1!$Z$16="K. Magnussen",1)+IF(Blad1!$Z$17="K. Magnussen",1)+IF(Blad1!$Z$18="K. Magnussen",1)+IF(Blad1!$Z$19="K. Magnussen",1)+IF(Blad1!$Z$20="K. Magnussen",1)+IF(Blad1!$Z$22="K. Magnussen",1)</f>
        <v>0</v>
      </c>
    </row>
    <row r="42" spans="42:56" x14ac:dyDescent="0.2">
      <c r="AP42" s="569" t="s">
        <v>418</v>
      </c>
      <c r="AQ42" s="774" t="s">
        <v>419</v>
      </c>
      <c r="AR42" s="775"/>
      <c r="AS42" s="775"/>
      <c r="AT42" s="775"/>
      <c r="AU42" s="687">
        <f t="shared" si="191"/>
        <v>58</v>
      </c>
      <c r="AV42" s="687">
        <f>IF(Blad2!$B$5="C. Sainz",1,0)+IF(Blad2!$B$9="C. Sainz",1,0)+IF(Blad2!$B$13="C. Sainz",1,0)+IF(Blad2!$B$17="C. Sainz",1,0)+IF(Blad2!$B$21="C. Sainz",1,0)+IF(Blad2!$B$25="C. Sainz",1,0)+IF(Blad2!$B$29="C. Sainz",1,0)+IF(Blad2!$B$33="C. Sainz",1,0)+IF(Blad2!$B$37="C. Sainz",1,0)+IF(Blad2!$B$41="C. Sainz",1,0)+IF(Blad2!$B$45="C. Sainz",1,0)+IF(Blad2!$B$49="C. Sainz",1,0)+IF(Blad2!$B$53="C. Sainz",1,0)+IF(Blad2!$B$57="C. Sainz",1,0)+IF(Blad2!$B$61="C. Sainz",1,0)+IF(Blad2!$B$65="C. Sainz",1,0)+IF(Blad2!$B$69="C. Sainz",1,0)+IF(Blad2!$B$73="C. Sainz",1,0)+IF(Blad2!$B$77="C. Sainz",1,0)+IF(Blad2!$B$85="C. Sainz",1,0)</f>
        <v>0</v>
      </c>
      <c r="AW42" s="687">
        <f>IF(Blad1!$AC$2="C. Sainz",1,0)+IF(Blad1!$AC$3="C. Sainz",1)+IF(Blad1!$AC$4="C. Sainz",1)+IF(Blad1!$AC$5="C. Sainz",1)+IF(Blad1!$AC$6="C. Sainz",1)+IF(Blad1!$AC$7="C. Sainz",1)+IF(Blad1!$AC$8="C. Sainz",1)+IF(Blad1!$AC$9="C. Sainz",1)+IF(Blad1!$AC$10="C. Sainz",1)+IF(Blad1!$AC$11="C. Sainz",1)+IF(Blad1!$AC$12="C. Sainz",1)+IF(Blad1!$AC$13="C. Sainz",1)+IF(Blad1!$AC$14="C. Sainz",1)+IF(Blad1!$AC$15="C. Sainz",1)+IF(Blad1!$AC$16="C. Sainz",1)+IF(Blad1!$AC$17="C. Sainz",1)+IF(Blad1!$AC$18="C. Sainz",1)+IF(Blad1!$AC$19="C. Sainz",1)+IF(Blad1!$AC$20="C. Sainz",1)+IF(Blad1!$AC$22="C. Sainz",1)</f>
        <v>0</v>
      </c>
      <c r="AX42" s="689">
        <f>IF(Blad1!$Z$2="C. Sainz",1,0)+IF(Blad1!$Z$3="C. Sainz",1)+IF(Blad1!$Z$4="C. Sainz",1)+IF(Blad1!$Z$5="C. Sainz",1)+IF(Blad1!$Z$6="C. Sainz",1)+IF(Blad1!$Z$7="C. Sainz",1)+IF(Blad1!$Z$8="C. Sainz",1)+IF(Blad1!$Z$9="C. Sainz",1)+IF(Blad1!$Z$10="C. Sainz",1)+IF(Blad1!$Z$11="C. Sainz",1)+IF(Blad1!$Z$12="C. Sainz",1)+IF(Blad1!$Z$13="C. Sainz",1)+IF(Blad1!$Z$14="C. Sainz",1)+IF(Blad1!$Z$15="C. Sainz",1)+IF(Blad1!$Z$16="C. Sainz",1)+IF(Blad1!$Z$17="C. Sainz",1)+IF(Blad1!$Z$18="C. Sainz",1)+IF(Blad1!$Z$19="C. Sainz",1)+IF(Blad1!$Z$20="C. Sainz",1)+IF(Blad1!$Z$22="C. Sainz",1)</f>
        <v>0</v>
      </c>
    </row>
    <row r="43" spans="42:56" x14ac:dyDescent="0.2">
      <c r="AP43" s="569" t="s">
        <v>529</v>
      </c>
      <c r="AQ43" s="774" t="s">
        <v>551</v>
      </c>
      <c r="AR43" s="775"/>
      <c r="AS43" s="775"/>
      <c r="AT43" s="775"/>
      <c r="AU43" s="687">
        <f t="shared" si="191"/>
        <v>25</v>
      </c>
      <c r="AV43" s="687">
        <f>IF(Blad2!$B$5="L. Norris",1,0)+IF(Blad2!$B$9="L. Norris",1,0)+IF(Blad2!$B$13="L. Norris",1,0)+IF(Blad2!$B$17="L. Norris",1,0)+IF(Blad2!$B$21="L. Norris",1,0)+IF(Blad2!$B$25="L. Norris",1,0)+IF(Blad2!$B$29="L. Norris",1,0)+IF(Blad2!$B$33="L. Norris",1,0)+IF(Blad2!$B$37="L. Norris",1,0)+IF(Blad2!$B$41="L. Norris",1,0)+IF(Blad2!$B$45="L. Norris",1,0)+IF(Blad2!$B$49="L. Norris",1,0)+IF(Blad2!$B$53="L. Norris",1,0)+IF(Blad2!$B$57="L. Norris",1,0)+IF(Blad2!$B$61="L. Norris",1,0)+IF(Blad2!$B$65="L. Norris",1,0)+IF(Blad2!$B$69="L. Norris",1,0)+IF(Blad2!$B$73="L. Norris",1,0)+IF(Blad2!$B$77="L. Norris",1,0)+IF(Blad2!$B$85="L. Norris",1,0)</f>
        <v>0</v>
      </c>
      <c r="AW43" s="687">
        <f>IF(Blad1!$AC$2="L. Norris",1,0)+IF(Blad1!$AC$3="L. Norris",1)+IF(Blad1!$AC$4="L. Norris",1)+IF(Blad1!$AC$5="L. Norris",1)+IF(Blad1!$AC$6="L. Norris",1)+IF(Blad1!$AC$7="L. Norris",1)+IF(Blad1!$AC$8="L. Norris",1)+IF(Blad1!$AC$9="L. Norris",1)+IF(Blad1!$AC$10="L. Norris",1)+IF(Blad1!$AC$11="L. Norris",1)+IF(Blad1!$AC$12="L. Norris",1)+IF(Blad1!$AC$13="L. Norris",1)+IF(Blad1!$AC$14="L. Norris",1)+IF(Blad1!$AC$15="L. Norris",1)+IF(Blad1!$AC$16="L. Norris",1)+IF(Blad1!$AC$17="L. Norris",1)+IF(Blad1!$AC$18="L. Norris",1)+IF(Blad1!$AC$19="L. Norris",1)+IF(Blad1!$AC$20="L. Norris",1)+IF(Blad1!$AC$22="L. Norris",1)</f>
        <v>0</v>
      </c>
      <c r="AX43" s="689">
        <f>IF(Blad1!$Z$2="L. Norris",1,0)+IF(Blad1!$Z$3="L. Norris",1)+IF(Blad1!$Z$4="L. Norris",1)+IF(Blad1!$Z$5="L. Norris",1)+IF(Blad1!$Z$6="L. Norris",1)+IF(Blad1!$Z$7="L. Norris",1)+IF(Blad1!$Z$8="L. Norris",1)+IF(Blad1!$Z$9="L. Norris",1)+IF(Blad1!$Z$10="L. Norris",1)+IF(Blad1!$Z$11="L. Norris",1)+IF(Blad1!$Z$12="L. Norris",1)+IF(Blad1!$Z$13="L. Norris",1)+IF(Blad1!$Z$14="L. Norris",1)+IF(Blad1!$Z$15="L. Norris",1)+IF(Blad1!$Z$16="L. Norris",1)+IF(Blad1!$Z$17="L. Norris",1)+IF(Blad1!$Z$18="L. Norris",1)+IF(Blad1!$Z$19="L. Norris",1)+IF(Blad1!$Z$20="L. Norris",1)+IF(Blad1!$Z$22="L. Norris",1)</f>
        <v>0</v>
      </c>
      <c r="AY43" s="366"/>
    </row>
    <row r="44" spans="42:56" x14ac:dyDescent="0.2">
      <c r="AP44" s="569" t="s">
        <v>347</v>
      </c>
      <c r="AQ44" s="774" t="s">
        <v>359</v>
      </c>
      <c r="AR44" s="775"/>
      <c r="AS44" s="775"/>
      <c r="AT44" s="775"/>
      <c r="AU44" s="687">
        <f t="shared" si="191"/>
        <v>27</v>
      </c>
      <c r="AV44" s="687">
        <f>IF(Blad2!$B$5="S. Pérez",1,0)+IF(Blad2!$B$9="S. Pérez",1,0)+IF(Blad2!$B$13="S. Pérez",1,0)+IF(Blad2!$B$17="S. Pérez",1,0)+IF(Blad2!$B$21="S. Pérez",1,0)+IF(Blad2!$B$25="S. Pérez",1,0)+IF(Blad2!$B$29="S. Pérez",1,0)+IF(Blad2!$B$33="S. Pérez",1,0)+IF(Blad2!$B$37="S. Pérez",1,0)+IF(Blad2!$B$41="S. Pérez",1,0)+IF(Blad2!$B$45="S. Pérez",1,0)+IF(Blad2!$B$49="S. Pérez",1,0)+IF(Blad2!$B$53="S. Pérez",1,0)+IF(Blad2!$B$57="S. Pérez",1,0)+IF(Blad2!$B$61="S. Pérez",1,0)+IF(Blad2!$B$65="S. Pérez",1,0)+IF(Blad2!$B$69="S. Pérez",1,0)+IF(Blad2!$B$73="S. Pérez",1,0)+IF(Blad2!$B$77="S. Pérez",1,0)+IF(Blad2!$B$85="S. Pérez",1,0)</f>
        <v>0</v>
      </c>
      <c r="AW44" s="687">
        <f>IF(Blad1!$AC$2="S. Pérez",1,0)+IF(Blad1!$AC$3="S. Pérez",1)+IF(Blad1!$AC$4="S. Pérez",1)+IF(Blad1!$AC$5="S. Pérez",1)+IF(Blad1!$AC$6="S. Pérez",1)+IF(Blad1!$AC$7="S. Pérez",1)+IF(Blad1!$AC$8="S. Pérez",1)+IF(Blad1!$AC$9="S. Pérez",1)+IF(Blad1!$AC$10="S. Pérez",1)+IF(Blad1!$AC$11="S. Pérez",1)+IF(Blad1!$AC$12="S. Pérez",1)+IF(Blad1!$AC$13="S. Pérez",1)+IF(Blad1!$AC$14="S. Pérez",1)+IF(Blad1!$AC$15="S. Pérez",1)+IF(Blad1!$AC$16="S. Pérez",1)+IF(Blad1!$AC$17="S. Pérez",1)+IF(Blad1!$AC$18="S. Pérez",1)+IF(Blad1!$AC$19="S. Pérez",1)+IF(Blad1!$AC$20="S. Pérez",1)+IF(Blad1!$AC$22="S. Pérez",1)</f>
        <v>0</v>
      </c>
      <c r="AX44" s="689">
        <f>IF(Blad1!$Z$2="S. Pérez",1,0)+IF(Blad1!$Z$3="S. Pérez",1)+IF(Blad1!$Z$4="S. Pérez",1)+IF(Blad1!$Z$5="S. Pérez",1)+IF(Blad1!$Z$6="S. Pérez",1)+IF(Blad1!$Z$7="S. Pérez",1)+IF(Blad1!$Z$8="S. Pérez",1)+IF(Blad1!$Z$9="S. Pérez",1)+IF(Blad1!$Z$10="S. Pérez",1)+IF(Blad1!$Z$11="S. Pérez",1)+IF(Blad1!$Z$12="S. Pérez",1)+IF(Blad1!$Z$13="S. Pérez",1)+IF(Blad1!$Z$14="S. Pérez",1)+IF(Blad1!$Z$15="S. Pérez",1)+IF(Blad1!$Z$16="S. Pérez",1)+IF(Blad1!$Z$17="S. Pérez",1)+IF(Blad1!$Z$18="S. Pérez",1)+IF(Blad1!$Z$19="S. Pérez",1)+IF(Blad1!$Z$20="S. Pérez",1)+IF(Blad1!$Z$22="S. Pérez",1)</f>
        <v>0</v>
      </c>
      <c r="AY44" s="366"/>
    </row>
    <row r="45" spans="42:56" x14ac:dyDescent="0.2">
      <c r="AP45" s="569" t="s">
        <v>481</v>
      </c>
      <c r="AQ45" s="774" t="s">
        <v>495</v>
      </c>
      <c r="AR45" s="775"/>
      <c r="AS45" s="775"/>
      <c r="AT45" s="775"/>
      <c r="AU45" s="687">
        <f t="shared" si="191"/>
        <v>19</v>
      </c>
      <c r="AV45" s="687">
        <f>IF(Blad2!$B$5="L. Stroll",1,0)+IF(Blad2!$B$9="L. Stroll",1,0)+IF(Blad2!$B$13="L. Stroll",1,0)+IF(Blad2!$B$17="L. Stroll",1,0)+IF(Blad2!$B$21="L. Stroll",1,0)+IF(Blad2!$B$25="L. Stroll",1,0)+IF(Blad2!$B$29="L. Stroll",1,0)+IF(Blad2!$B$33="L. Stroll",1,0)+IF(Blad2!$B$37="L. Stroll",1,0)+IF(Blad2!$B$41="L. Stroll",1,0)+IF(Blad2!$B$45="L. Stroll",1,0)+IF(Blad2!$B$49="L. Stroll",1,0)+IF(Blad2!$B$53="L. Stroll",1,0)+IF(Blad2!$B$57="L. Stroll",1,0)+IF(Blad2!$B$61="L. Stroll",1,0)+IF(Blad2!$B$65="L. Stroll",1,0)+IF(Blad2!$B$69="L. Stroll",1,0)+IF(Blad2!$B$73="L. Stroll",1,0)+IF(Blad2!$B$77="L. Stroll",1,0)+IF(Blad2!$B$85="L. Stroll",1,0)</f>
        <v>0</v>
      </c>
      <c r="AW45" s="687">
        <f>IF(Blad1!$AC$2="L. Stroll",1,0)+IF(Blad1!$AC$3="L. Stroll",1)+IF(Blad1!$AC$4="L. Stroll",1)+IF(Blad1!$AC$5="L. Stroll",1)+IF(Blad1!$AC$6="L. Stroll",1)+IF(Blad1!$AC$7="L. Stroll",1)+IF(Blad1!$AC$8="L. Stroll",1)+IF(Blad1!$AC$9="L. Stroll",1)+IF(Blad1!$AC$10="L. Stroll",1)+IF(Blad1!$AC$11="L. Stroll",1)+IF(Blad1!$AC$12="L. Stroll",1)+IF(Blad1!$AC$13="L. Stroll",1)+IF(Blad1!$AC$14="L. Stroll",1)+IF(Blad1!$AC$15="L. Stroll",1)+IF(Blad1!$AC$16="L. Stroll",1)+IF(Blad1!$AC$17="L. Stroll",1)+IF(Blad1!$AC$18="L. Stroll",1)+IF(Blad1!$AC$19="L. Stroll",1)+IF(Blad1!$AC$20="L. Stroll",1)+IF(Blad1!$AC$22="L. Stroll",1)</f>
        <v>0</v>
      </c>
      <c r="AX45" s="689">
        <f>IF(Blad1!$Z$2="L. Stroll",1,0)+IF(Blad1!$Z$3="L. Stroll",1)+IF(Blad1!$Z$4="L. Stroll",1)+IF(Blad1!$Z$5="L. Stroll",1)+IF(Blad1!$Z$6="L. Stroll",1)+IF(Blad1!$Z$7="L. Stroll",1)+IF(Blad1!$Z$8="L. Stroll",1)+IF(Blad1!$Z$9="L. Stroll",1)+IF(Blad1!$Z$10="L. Stroll",1)+IF(Blad1!$Z$11="L. Stroll",1)+IF(Blad1!$Z$12="L. Stroll",1)+IF(Blad1!$Z$13="L. Stroll",1)+IF(Blad1!$Z$14="L. Stroll",1)+IF(Blad1!$Z$15="L. Stroll",1)+IF(Blad1!$Z$16="L. Stroll",1)+IF(Blad1!$Z$17="L. Stroll",1)+IF(Blad1!$Z$18="L. Stroll",1)+IF(Blad1!$Z$19="L. Stroll",1)+IF(Blad1!$Z$20="L. Stroll",1)+IF(Blad1!$Z$22="L. Stroll",1)</f>
        <v>0</v>
      </c>
      <c r="AY45" s="366"/>
    </row>
    <row r="46" spans="42:56" x14ac:dyDescent="0.2">
      <c r="AP46" s="569" t="s">
        <v>63</v>
      </c>
      <c r="AQ46" s="774" t="s">
        <v>417</v>
      </c>
      <c r="AR46" s="775"/>
      <c r="AS46" s="775"/>
      <c r="AT46" s="775"/>
      <c r="AU46" s="687">
        <f t="shared" si="191"/>
        <v>31</v>
      </c>
      <c r="AV46" s="687">
        <f>IF(Blad2!$B$5="K. Raïkkönen",1,0)+IF(Blad2!$B$9="K. Raïkkönen",1,0)+IF(Blad2!$B$13="K. Raïkkönen",1,0)+IF(Blad2!$B$17="K. Raïkkönen",1,0)+IF(Blad2!$B$21="K. Raïkkönen",1,0)+IF(Blad2!$B$25="K. Raïkkönen",1,0)+IF(Blad2!$B$29="K. Raïkkönen",1,0)+IF(Blad2!$B$33="K. Raïkkönen",1,0)+IF(Blad2!$B$37="K. Raïkkönen",1,0)+IF(Blad2!$B$41="K. Raïkkönen",1,0)+IF(Blad2!$B$45="K. Raïkkönen",1,0)+IF(Blad2!$B$49="K. Raïkkönen",1,0)+IF(Blad2!$B$53="K. Raïkkönen",1,0)+IF(Blad2!$B$57="K. Raïkkönen",1,0)+IF(Blad2!$B$61="K. Raïkkönen",1,0)+IF(Blad2!$B$65="K. Raïkkönen",1,0)+IF(Blad2!$B$69="K. Raïkkönen",1,0)+IF(Blad2!$B$73="K. Raïkkönen",1,0)+IF(Blad2!$B$77="K. Raïkkönen",1,0)+IF(Blad2!$B$85="K. Raïkkönen",1,0)</f>
        <v>0</v>
      </c>
      <c r="AW46" s="687">
        <f>IF(Blad1!$AC$2="K. Raïkkönen",1,0)+IF(Blad1!$AC$3="K. Raïkkönen",1)+IF(Blad1!$AC$4="K. Raïkkönen",1)+IF(Blad1!$AC$5="K. Raïkkönen",1)+IF(Blad1!$AC$6="K. Raïkkönen",1)+IF(Blad1!$AC$7="K. Raïkkönen",1)+IF(Blad1!$AC$8="K. Raïkkönen",1)+IF(Blad1!$AC$9="K. Raïkkönen",1)+IF(Blad1!$AC$10="K. Raïkkönen",1)+IF(Blad1!$AC$11="K. Raïkkönen",1)+IF(Blad1!$AC$12="K. Raïkkönen",1)+IF(Blad1!$AC$13="K. Raïkkönen",1)+IF(Blad1!$AC$14="K. Raïkkönen",1)+IF(Blad1!$AC$15="K. Raïkkönen",1)+IF(Blad1!$AC$16="K. Raïkkönen",1)+IF(Blad1!$AC$17="K. Raïkkönen",1)+IF(Blad1!$AC$18="K. Raïkkönen",1)+IF(Blad1!$AC$19="K. Raïkkönen",1)+IF(Blad1!$AC$20="K. Raïkkönen",1)+IF(Blad1!$AC$22="K. Raïkkönen",1)</f>
        <v>0</v>
      </c>
      <c r="AX46" s="689">
        <f>IF(Blad1!$Z$2="K. Raïkkönen",1,0)+IF(Blad1!$Z$3="K. Raïkkönen",1)+IF(Blad1!$Z$4="K. Raïkkönen",1)+IF(Blad1!$Z$5="K. Raïkkönen",1)+IF(Blad1!$Z$6="K. Raïkkönen",1)+IF(Blad1!$Z$7="K. Raïkkönen",1)+IF(Blad1!$Z$8="K. Raïkkönen",1)+IF(Blad1!$Z$9="K. Raïkkönen",1)+IF(Blad1!$Z$10="K. Raïkkönen",1)+IF(Blad1!$Z$11="K. Raïkkönen",1)+IF(Blad1!$Z$12="K. Raïkkönen",1)+IF(Blad1!$Z$13="K. Raïkkönen",1)+IF(Blad1!$Z$14="K. Raïkkönen",1)+IF(Blad1!$Z$15="K. Raïkkönen",1)+IF(Blad1!$Z$16="K. Raïkkönen",1)+IF(Blad1!$Z$17="K. Raïkkönen",1)+IF(Blad1!$Z$18="K. Raïkkönen",1)+IF(Blad1!$Z$19="K. Raïkkönen",1)+IF(Blad1!$Z$20="K. Raïkkönen",1)+IF(Blad1!$Z$22="K. Raïkkönen",1)</f>
        <v>0</v>
      </c>
    </row>
    <row r="47" spans="42:56" x14ac:dyDescent="0.2">
      <c r="AP47" s="569" t="s">
        <v>497</v>
      </c>
      <c r="AQ47" s="774" t="s">
        <v>556</v>
      </c>
      <c r="AR47" s="775"/>
      <c r="AS47" s="775"/>
      <c r="AT47" s="775"/>
      <c r="AU47" s="687">
        <f t="shared" si="191"/>
        <v>3</v>
      </c>
      <c r="AV47" s="687">
        <f>IF(Blad2!$B$5="A. Giovinazzi",1,0)+IF(Blad2!$B$9="A. Giovinazzi",1,0)+IF(Blad2!$B$13="A. Giovinazzi",1,0)+IF(Blad2!$B$17="A. Giovinazzi",1,0)+IF(Blad2!$B$21="A. Giovinazzi",1,0)+IF(Blad2!$B$25="A. Giovinazzi",1,0)+IF(Blad2!$B$29="A. Giovinazzi",1,0)+IF(Blad2!$B$33="A. Giovinazzi",1,0)+IF(Blad2!$B$37="A. Giovinazzi",1,0)+IF(Blad2!$B$41="A. Giovinazzi",1,0)+IF(Blad2!$B$45="A. Giovinazzi",1,0)+IF(Blad2!$B$49="A. Giovinazzi",1,0)+IF(Blad2!$B$53="A. Giovinazzi",1,0)+IF(Blad2!$B$57="A. Giovinazzi",1,0)+IF(Blad2!$B$61="A. Giovinazzi",1,0)+IF(Blad2!$B$65="A. Giovinazzi",1,0)+IF(Blad2!$B$69="A. Giovinazzi",1,0)+IF(Blad2!$B$73="A. Giovinazzi",1,0)+IF(Blad2!$B$77="A. Giovinazzi",1,0)+IF(Blad2!$B$85="A. Giovinazzi",1,0)</f>
        <v>0</v>
      </c>
      <c r="AW47" s="687">
        <f>IF(Blad1!$AC$2="A. Giovinazzi",1,0)+IF(Blad1!$AC$3="A. Giovinazzi",1)+IF(Blad1!$AC$4="A. Giovinazzi",1)+IF(Blad1!$AC$5="A. Giovinazzi",1)+IF(Blad1!$AC$6="A. Giovinazzi",1)+IF(Blad1!$AC$7="A. Giovinazzi",1)+IF(Blad1!$AC$8="A. Giovinazzi",1)+IF(Blad1!$AC$9="A. Giovinazzi",1)+IF(Blad1!$AC$10="A. Giovinazzi",1)+IF(Blad1!$AC$11="A. Giovinazzi",1)+IF(Blad1!$AC$12="A. Giovinazzi",1)+IF(Blad1!$AC$13="A. Giovinazzi",1)+IF(Blad1!$AC$14="A. Giovinazzi",1)+IF(Blad1!$AC$15="A. Giovinazzi",1)+IF(Blad1!$AC$16="A. Giovinazzi",1)+IF(Blad1!$AC$17="A. Giovinazzi",1)+IF(Blad1!$AC$18="A. Giovinazzi",1)+IF(Blad1!$AC$19="A. Giovinazzi",1)+IF(Blad1!$AC$20="A. Giovinazzi",1)+IF(Blad1!$AC$22="A. Giovinazzi",1)</f>
        <v>0</v>
      </c>
      <c r="AX47" s="689">
        <f>IF(Blad1!$Z$2="A. Giovinazzi",1,0)+IF(Blad1!$Z$3="A. Giovinazzi",1)+IF(Blad1!$Z$4="A. Giovinazzi",1)+IF(Blad1!$Z$5="A. Giovinazzi",1)+IF(Blad1!$Z$6="A. Giovinazzi",1)+IF(Blad1!$Z$7="A. Giovinazzi",1)+IF(Blad1!$Z$8="A. Giovinazzi",1)+IF(Blad1!$Z$9="A. Giovinazzi",1)+IF(Blad1!$Z$10="A. Giovinazzi",1)+IF(Blad1!$Z$11="A. Giovinazzi",1)+IF(Blad1!$Z$12="A. Giovinazzi",1)+IF(Blad1!$Z$13="A. Giovinazzi",1)+IF(Blad1!$Z$14="A. Giovinazzi",1)+IF(Blad1!$Z$15="A. Giovinazzi",1)+IF(Blad1!$Z$16="A. Giovinazzi",1)+IF(Blad1!$Z$17="A. Giovinazzi",1)+IF(Blad1!$Z$18="A. Giovinazzi",1)+IF(Blad1!$Z$19="A. Giovinazzi",1)+IF(Blad1!$Z$20="A. Giovinazzi",1)+IF(Blad1!$Z$22="A. Giovinazzi",1)</f>
        <v>0</v>
      </c>
      <c r="AY47" s="570"/>
    </row>
    <row r="48" spans="42:56" ht="13.5" thickBot="1" x14ac:dyDescent="0.25">
      <c r="AP48" s="569" t="s">
        <v>365</v>
      </c>
      <c r="AQ48" s="774" t="s">
        <v>555</v>
      </c>
      <c r="AR48" s="775"/>
      <c r="AS48" s="775"/>
      <c r="AT48" s="775"/>
      <c r="AU48" s="687">
        <f t="shared" si="191"/>
        <v>33</v>
      </c>
      <c r="AV48" s="687">
        <f>IF(Blad2!$B$5="D. Kvyat",1,0)+IF(Blad2!$B$9="D. Kvyat",1,0)+IF(Blad2!$B$13="D. Kvyat",1,0)+IF(Blad2!$B$17="D. Kvyat",1,0)+IF(Blad2!$B$21="D. Kvyat",1,0)+IF(Blad2!$B$25="D. Kvyat",1,0)+IF(Blad2!$B$29="D. Kvyat",1,0)+IF(Blad2!$B$33="D. Kvyat",1,0)+IF(Blad2!$B$37="D. Kvyat",1,0)+IF(Blad2!$B$41="D. Kvyat",1,0)+IF(Blad2!$B$45="D. Kvyat",1,0)+IF(Blad2!$B$49="D. Kvyat",1,0)+IF(Blad2!$B$53="D. Kvyat",1,0)+IF(Blad2!$B$57="D. Kvyat",1,0)+IF(Blad2!$B$61="D. Kvyat",1,0)+IF(Blad2!$B$65="D. Kvyat",1,0)+IF(Blad2!$B$69="D. Kvyat",1,0)+IF(Blad2!$B$73="D. Kvyat",1,0)+IF(Blad2!$B$77="D. Kvyat",1,0)+IF(Blad2!$B$85="D. Kvyat",1,0)</f>
        <v>0</v>
      </c>
      <c r="AW48" s="687">
        <f>IF(Blad1!$AC$2="D. Kvyat",1,0)+IF(Blad1!$AC$3="D. Kvyat",1)+IF(Blad1!$AC$4="D. Kvyat",1)+IF(Blad1!$AC$5="D. Kvyat",1)+IF(Blad1!$AC$6="D. Kvyat",1)+IF(Blad1!$AC$7="D. Kvyat",1)+IF(Blad1!$AC$8="D. Kvyat",1)+IF(Blad1!$AC$9="D. Kvyat",1)+IF(Blad1!$AC$10="D. Kvyat",1)+IF(Blad1!$AC$11="D. Kvyat",1)+IF(Blad1!$AC$12="D. Kvyat",1)+IF(Blad1!$AC$13="D. Kvyat",1)+IF(Blad1!$AC$14="D. Kvyat",1)+IF(Blad1!$AC$15="D. Kvyat",1)+IF(Blad1!$AC$16="D. Kvyat",1)+IF(Blad1!$AC$17="D. Kvyat",1)+IF(Blad1!$AC$18="D. Kvyat",1)+IF(Blad1!$AC$19="D. Kvyat",1)+IF(Blad1!$AC$20="D. Kvyat",1)+IF(Blad1!$AC$22="D. Kvyat",1)</f>
        <v>0</v>
      </c>
      <c r="AX48" s="689">
        <f>IF(Blad1!$Z$2="D. Kvyat",1,0)+IF(Blad1!$Z$3="D. Kvyat",1)+IF(Blad1!$Z$4="D. Kvyat",1)+IF(Blad1!$Z$5="D. Kvyat",1)+IF(Blad1!$Z$6="D. Kvyat",1)+IF(Blad1!$Z$7="D. Kvyat",1)+IF(Blad1!$Z$8="D. Kvyat",1)+IF(Blad1!$Z$9="D. Kvyat",1)+IF(Blad1!$Z$10="D. Kvyat",1)+IF(Blad1!$Z$11="D. Kvyat",1)+IF(Blad1!$Z$12="D. Kvyat",1)+IF(Blad1!$Z$13="D. Kvyat",1)+IF(Blad1!$Z$14="D. Kvyat",1)+IF(Blad1!$Z$15="D. Kvyat",1)+IF(Blad1!$Z$16="D. Kvyat",1)+IF(Blad1!$Z$17="D. Kvyat",1)+IF(Blad1!$Z$18="D. Kvyat",1)+IF(Blad1!$Z$19="D. Kvyat",1)+IF(Blad1!$Z$20="D. Kvyat",1)+IF(Blad1!$Z$22="D. Kvyat",1)</f>
        <v>0</v>
      </c>
      <c r="AY48" s="366"/>
    </row>
    <row r="49" spans="42:56" ht="13.5" thickBot="1" x14ac:dyDescent="0.25">
      <c r="AP49" s="569" t="s">
        <v>542</v>
      </c>
      <c r="AQ49" s="774" t="s">
        <v>554</v>
      </c>
      <c r="AR49" s="775"/>
      <c r="AS49" s="775"/>
      <c r="AT49" s="775"/>
      <c r="AU49" s="687">
        <f t="shared" si="191"/>
        <v>34</v>
      </c>
      <c r="AV49" s="697">
        <f>AY49+BB49</f>
        <v>0</v>
      </c>
      <c r="AW49" s="697">
        <f t="shared" ref="AW49:AX49" si="193">AZ49+BC49</f>
        <v>0</v>
      </c>
      <c r="AX49" s="698">
        <f t="shared" si="193"/>
        <v>0</v>
      </c>
      <c r="AY49" s="708">
        <f>IF(Blad2!$B$5="A. Albon",1,0)+IF(Blad2!$B$9="A. Albon",1,0)+IF(Blad2!$B$13="A. Albon",1,0)+IF(Blad2!$B$17="A. Albon",1,0)+IF(Blad2!$B$21="A. Albon",1,0)+IF(Blad2!$B$25="A. Albon",1,0)+IF(Blad2!$B$29="A. Albon",1,0)+IF(Blad2!$B$33="A. Albon",1,0)+IF(Blad2!$B$37="A. Albon",1,0)+IF(Blad2!$B$41="A. Albon",1,0)+IF(Blad2!$B$45="A. Albon",1,0)+IF(Blad2!$B$49="A. Albon",1,0)+IF(Blad2!$B$53="A. Albon",1,0)+IF(Blad2!$B$57="A. Albon",1,0)+IF(Blad2!$B$61="A. Albon",1,0)+IF(Blad2!$B$65="A. Albon",1,0)+IF(Blad2!$B$69="A. Albon",1,0)+IF(Blad2!$B$73="A. Albon",1,0)+IF(Blad2!$B$77="A. Albon",1,0)+IF(Blad2!$B$85="A. Albon",1,0)</f>
        <v>0</v>
      </c>
      <c r="AZ49" s="706">
        <f>IF(Blad1!$AC$2="A. Albon",1,0)+IF(Blad1!$AC$3="A. Albon",1)+IF(Blad1!$AC$4="A. Albon",1)+IF(Blad1!$AC$5="A. Albon",1)+IF(Blad1!$AC$6="A. Albon",1)+IF(Blad1!$AC$7="A. Albon",1)+IF(Blad1!$AC$8="A. Albon",1)+IF(Blad1!$AC$9="A. Albon",1)+IF(Blad1!$AC$10="A. Albon",1)+IF(Blad1!$AC$11="A. Albon",1)+IF(Blad1!$AC$12="A. Albon",1)+IF(Blad1!$AC$13="A. Albon",1)+IF(Blad1!$AC$14="A. Albon",1)+IF(Blad1!$AC$15="A. Albon",1)+IF(Blad1!$AC$16="A. Albon",1)+IF(Blad1!$AC$17="A. Albon",1)+IF(Blad1!$AC$18="A. Albon",1)+IF(Blad1!$AC$19="A. Albon",1)+IF(Blad1!$AC$20="A. Albon",1)+IF(Blad1!$AC$22="A. Albon",1)</f>
        <v>0</v>
      </c>
      <c r="BA49" s="707">
        <f>IF(Blad1!$Z$2="A. Albon",1,0)+IF(Blad1!$Z$3="A. Albon",1)+IF(Blad1!$Z$4="A. Albon",1)+IF(Blad1!$Z$5="A. Albon",1)+IF(Blad1!$Z$6="A. Albon",1)+IF(Blad1!$Z$7="A. Albon",1)+IF(Blad1!$Z$8="A. Albon",1)+IF(Blad1!$Z$9="A. Albon",1)+IF(Blad1!$Z$10="A. Albon",1)+IF(Blad1!$Z$11="A. Albon",1)+IF(Blad1!$Z$12="A. Albon",1)+IF(Blad1!$Z$13="A. Albon",1)+IF(Blad1!$Z$14="A. Albon",1)+IF(Blad1!$Z$15="A. Albon",1)+IF(Blad1!$Z$16="A. Albon",1)+IF(Blad1!$Z$17="A. Albon",1)+IF(Blad1!$Z$18="A. Albon",1)+IF(Blad1!$Z$19="A. Albon",1)+IF(Blad1!$Z$20="A. Albon",1)+IF(Blad1!$Z$22="A. Albon",1)</f>
        <v>0</v>
      </c>
      <c r="BB49" s="704">
        <f>IF(Blad2!$B$5="A. Albon¹",1,0)+IF(Blad2!$B$9="A. Albon¹",1,0)+IF(Blad2!$B$13="A. Albon¹",1,0)+IF(Blad2!$B$17="A. Albon¹",1,0)+IF(Blad2!$B$21="A. Albon¹",1,0)+IF(Blad2!$B$25="A. Albon¹",1,0)+IF(Blad2!$B$29="A. Albon¹",1,0)+IF(Blad2!$B$33="A. Albon¹",1,0)+IF(Blad2!$B$37="A. Albon¹",1,0)+IF(Blad2!$B$41="A. Albon¹",1,0)+IF(Blad2!$B$45="A. Albon¹",1,0)+IF(Blad2!$B$49="A. Albon¹",1,0)+IF(Blad2!$B$53="A. Albon¹",1,0)+IF(Blad2!$B$57="A. Albon¹",1,0)+IF(Blad2!$B$61="A. Albon¹",1,0)+IF(Blad2!$B$65="A. Albon¹",1,0)+IF(Blad2!$B$69="A. Albon¹",1,0)+IF(Blad2!$B$73="A. Albon¹",1,0)+IF(Blad2!$B$77="A. Albon¹",1,0)+IF(Blad2!$B$85="A. Albon¹",1,0)</f>
        <v>0</v>
      </c>
      <c r="BC49" s="704">
        <f>IF(Blad1!$AC$2="A. Albon¹",1,0)+IF(Blad1!$AC$3="A. Albon¹",1)+IF(Blad1!$AC$4="A. Albon¹",1)+IF(Blad1!$AC$5="A. Albon¹",1)+IF(Blad1!$AC$6="A. Albon¹",1)+IF(Blad1!$AC$7="A. Albon¹",1)+IF(Blad1!$AC$8="A. Albon¹",1)+IF(Blad1!$AC$9="A. Albon¹",1)+IF(Blad1!$AC$10="A. Albon¹",1)+IF(Blad1!$AC$11="A. Albon¹",1)+IF(Blad1!$AC$12="A. Albon¹",1)+IF(Blad1!$AC$13="A. Albon¹",1)+IF(Blad1!$AC$14="A. Albon¹",1)+IF(Blad1!$AC$15="A. Albon¹",1)+IF(Blad1!$AC$16="A. Albon¹",1)+IF(Blad1!$AC$17="A. Albon¹",1)+IF(Blad1!$AC$18="A. Albon¹",1)+IF(Blad1!$AC$19="A. Albon¹",1)+IF(Blad1!$AC$20="A. Albon¹",1)+IF(Blad1!$AC$22="A. Albon¹",1)</f>
        <v>0</v>
      </c>
      <c r="BD49" s="705">
        <f>IF(Blad1!$Z$2="A. Albon¹",1,0)+IF(Blad1!$Z$3="A. Albon¹",1)+IF(Blad1!$Z$4="A. Albon¹",1)+IF(Blad1!$Z$5="A. Albon¹",1)+IF(Blad1!$Z$6="A. Albon¹",1)+IF(Blad1!$Z$7="A. Albon¹",1)+IF(Blad1!$Z$8="A. Albon¹",1)+IF(Blad1!$Z$9="A. Albon¹",1)+IF(Blad1!$Z$10="A. Albon¹",1)+IF(Blad1!$Z$11="A. Albon¹",1)+IF(Blad1!$Z$12="A. Albon¹",1)+IF(Blad1!$Z$13="A. Albon¹",1)+IF(Blad1!$Z$14="A. Albon¹",1)+IF(Blad1!$Z$15="A. Albon¹",1)+IF(Blad1!$Z$16="A. Albon¹",1)+IF(Blad1!$Z$17="A. Albon¹",1)+IF(Blad1!$Z$18="A. Albon¹",1)+IF(Blad1!$Z$19="A. Albon¹",1)+IF(Blad1!$Z$20="A. Albon¹",1)+IF(Blad1!$Z$22="A. Albon¹",1)</f>
        <v>0</v>
      </c>
    </row>
    <row r="50" spans="42:56" x14ac:dyDescent="0.2">
      <c r="AP50" s="569" t="s">
        <v>549</v>
      </c>
      <c r="AQ50" s="774" t="s">
        <v>553</v>
      </c>
      <c r="AR50" s="775"/>
      <c r="AS50" s="775"/>
      <c r="AT50" s="775"/>
      <c r="AU50" s="687">
        <f t="shared" si="191"/>
        <v>0</v>
      </c>
      <c r="AV50" s="687">
        <f>IF(Blad2!$B$5="G. Russell",1,0)+IF(Blad2!$B$9="G. Russell",1,0)+IF(Blad2!$B$13="G. Russell",1,0)+IF(Blad2!$B$17="G. Russell",1,0)+IF(Blad2!$B$21="G. Russell",1,0)+IF(Blad2!$B$25="G. Russell",1,0)+IF(Blad2!$B$29="G. Russell",1,0)+IF(Blad2!$B$33="G. Russell",1,0)+IF(Blad2!$B$37="G. Russell",1,0)+IF(Blad2!$B$41="G. Russell",1,0)+IF(Blad2!$B$45="G. Russell",1,0)+IF(Blad2!$B$49="G. Russell",1,0)+IF(Blad2!$B$53="G. Russell",1,0)+IF(Blad2!$B$57="G. Russell",1,0)+IF(Blad2!$B$61="G. Russell",1,0)+IF(Blad2!$B$65="G. Russell",1,0)+IF(Blad2!$B$69="G. Russell",1,0)+IF(Blad2!$B$73="G. Russell",1,0)+IF(Blad2!$B$77="G. Russell",1,0)+IF(Blad2!$B$85="G. Russell",1,0)</f>
        <v>0</v>
      </c>
      <c r="AW50" s="687">
        <f>IF(Blad1!$AC$2="G. Russell",1,0)+IF(Blad1!$AC$3="G. Russell",1)+IF(Blad1!$AC$4="G. Russell",1)+IF(Blad1!$AC$5="G. Russell",1)+IF(Blad1!$AC$6="G. Russell",1)+IF(Blad1!$AC$7="G. Russell",1)+IF(Blad1!$AC$8="G. Russell",1)+IF(Blad1!$AC$9="G. Russell",1)+IF(Blad1!$AC$10="G. Russell",1)+IF(Blad1!$AC$11="G. Russell",1)+IF(Blad1!$AC$12="G. Russell",1)+IF(Blad1!$AC$13="G. Russell",1)+IF(Blad1!$AC$14="G. Russell",1)+IF(Blad1!$AC$15="G. Russell",1)+IF(Blad1!$AC$16="G. Russell",1)+IF(Blad1!$AC$17="G. Russell",1)+IF(Blad1!$AC$18="G. Russell",1)+IF(Blad1!$AC$19="G. Russell",1)+IF(Blad1!$AC$20="G. Russell",1)+IF(Blad1!$AC$22="G. Russell",1)</f>
        <v>0</v>
      </c>
      <c r="AX50" s="689">
        <f>IF(Blad1!$Z$2="G. Russell",1,0)+IF(Blad1!$Z$3="G. Russell",1)+IF(Blad1!$Z$4="G. Russell",1)+IF(Blad1!$Z$5="G. Russell",1)+IF(Blad1!$Z$6="G. Russell",1)+IF(Blad1!$Z$7="G. Russell",1)+IF(Blad1!$Z$8="G. Russell",1)+IF(Blad1!$Z$9="G. Russell",1)+IF(Blad1!$Z$10="G. Russell",1)+IF(Blad1!$Z$11="G. Russell",1)+IF(Blad1!$Z$12="G. Russell",1)+IF(Blad1!$Z$13="G. Russell",1)+IF(Blad1!$Z$14="G. Russell",1)+IF(Blad1!$Z$15="G. Russell",1)+IF(Blad1!$Z$16="G. Russell",1)+IF(Blad1!$Z$17="G. Russell",1)+IF(Blad1!$Z$18="G. Russell",1)+IF(Blad1!$Z$19="G. Russell",1)+IF(Blad1!$Z$20="G. Russell",1)+IF(Blad1!$Z$22="G. Russell",1)</f>
        <v>0</v>
      </c>
      <c r="AY50" s="366"/>
    </row>
    <row r="51" spans="42:56" ht="13.5" thickBot="1" x14ac:dyDescent="0.25">
      <c r="AP51" s="571" t="s">
        <v>528</v>
      </c>
      <c r="AQ51" s="776" t="s">
        <v>552</v>
      </c>
      <c r="AR51" s="777"/>
      <c r="AS51" s="777"/>
      <c r="AT51" s="777"/>
      <c r="AU51" s="688">
        <f t="shared" si="191"/>
        <v>1</v>
      </c>
      <c r="AV51" s="688">
        <f>IF(Blad2!$B$5="R. Kubica",1,0)+IF(Blad2!$B$9="R. Kubica",1,0)+IF(Blad2!$B$13="R. Kubica",1,0)+IF(Blad2!$B$17="R. Kubica",1,0)+IF(Blad2!$B$21="R. Kubica",1,0)+IF(Blad2!$B$25="R. Kubica",1,0)+IF(Blad2!$B$29="R. Kubica",1,0)+IF(Blad2!$B$33="R. Kubica",1,0)+IF(Blad2!$B$37="R. Kubica",1,0)+IF(Blad2!$B$41="R. Kubica",1,0)+IF(Blad2!$B$45="R. Kubica",1,0)+IF(Blad2!$B$49="R. Kubica",1,0)+IF(Blad2!$B$53="R. Kubica",1,0)+IF(Blad2!$B$57="R. Kubica",1,0)+IF(Blad2!$B$61="R. Kubica",1,0)+IF(Blad2!$B$65="R. Kubica",1,0)+IF(Blad2!$B$69="R. Kubica",1,0)+IF(Blad2!$B$73="R. Kubica",1,0)+IF(Blad2!$B$77="R. Kubica",1,0)+IF(Blad2!$B$85="R. Kubica",1,0)</f>
        <v>0</v>
      </c>
      <c r="AW51" s="688">
        <f>IF(Blad1!$AC$2="R. Kubica",1,0)+IF(Blad1!$AC$3="R. Kubica",1)+IF(Blad1!$AC$4="R. Kubica",1)+IF(Blad1!$AC$5="R. Kubica",1)+IF(Blad1!$AC$6="R. Kubica",1)+IF(Blad1!$AC$7="R. Kubica",1)+IF(Blad1!$AC$8="R. Kubica",1)+IF(Blad1!$AC$9="R. Kubica",1)+IF(Blad1!$AC$10="R. Kubica",1)+IF(Blad1!$AC$11="R. Kubica",1)+IF(Blad1!$AC$12="R. Kubica",1)+IF(Blad1!$AC$13="R. Kubica",1)+IF(Blad1!$AC$14="R. Kubica",1)+IF(Blad1!$AC$15="R. Kubica",1)+IF(Blad1!$AC$16="R. Kubica",1)+IF(Blad1!$AC$17="R. Kubica",1)+IF(Blad1!$AC$18="R. Kubica",1)+IF(Blad1!$AC$19="R. Kubica",1)+IF(Blad1!$AC$20="R. Kubica",1)+IF(Blad1!$AC$22="R. Kubica",1)</f>
        <v>0</v>
      </c>
      <c r="AX51" s="690">
        <f>IF(Blad1!$Z$2="R. Kubica",1,0)+IF(Blad1!$Z$3="R. Kubica",1)+IF(Blad1!$Z$4="R. Kubica",1)+IF(Blad1!$Z$5="R. Kubica",1)+IF(Blad1!$Z$6="R. Kubica",1)+IF(Blad1!$Z$7="R. Kubica",1)+IF(Blad1!$Z$8="R. Kubica",1)+IF(Blad1!$Z$9="R. Kubica",1)+IF(Blad1!$Z$10="R. Kubica",1)+IF(Blad1!$Z$11="R. Kubica",1)+IF(Blad1!$Z$12="R. Kubica",1)+IF(Blad1!$Z$13="R. Kubica",1)+IF(Blad1!$Z$14="R. Kubica",1)+IF(Blad1!$Z$15="R. Kubica",1)+IF(Blad1!$Z$16="R. Kubica",1)+IF(Blad1!$Z$17="R. Kubica",1)+IF(Blad1!$Z$18="R. Kubica",1)+IF(Blad1!$Z$19="R. Kubica",1)+IF(Blad1!$Z$20="R. Kubica",1)+IF(Blad1!$Z$22="R. Kubica",1)</f>
        <v>0</v>
      </c>
      <c r="AY51" s="366"/>
    </row>
    <row r="52" spans="42:56" x14ac:dyDescent="0.2">
      <c r="AW52" s="500"/>
      <c r="AX52" s="500"/>
    </row>
    <row r="53" spans="42:56" x14ac:dyDescent="0.2">
      <c r="AX53" s="500"/>
    </row>
  </sheetData>
  <sheetProtection sheet="1" objects="1" scenarios="1" formatColumns="0" formatRows="0" selectLockedCells="1" sort="0" selectUnlockedCells="1"/>
  <sortState xmlns:xlrd2="http://schemas.microsoft.com/office/spreadsheetml/2017/richdata2" ref="C9:Y28">
    <sortCondition descending="1" ref="Y9"/>
  </sortState>
  <dataConsolidate/>
  <mergeCells count="253">
    <mergeCell ref="CI9:CI10"/>
    <mergeCell ref="CI11:CI12"/>
    <mergeCell ref="CI13:CI14"/>
    <mergeCell ref="CI15:CI16"/>
    <mergeCell ref="CI17:CI18"/>
    <mergeCell ref="CI19:CI20"/>
    <mergeCell ref="CI21:CI22"/>
    <mergeCell ref="CI23:CI24"/>
    <mergeCell ref="CI25:CI26"/>
    <mergeCell ref="BN11:BN12"/>
    <mergeCell ref="BN13:BN14"/>
    <mergeCell ref="BN23:BN24"/>
    <mergeCell ref="BN25:BN26"/>
    <mergeCell ref="AQ38:AT38"/>
    <mergeCell ref="AQ33:AT33"/>
    <mergeCell ref="AQ39:AT39"/>
    <mergeCell ref="AQ45:AT45"/>
    <mergeCell ref="AQ50:AT50"/>
    <mergeCell ref="AQ40:AT40"/>
    <mergeCell ref="AQ41:AT41"/>
    <mergeCell ref="AQ49:AT49"/>
    <mergeCell ref="AQ37:AT37"/>
    <mergeCell ref="AQ47:AT47"/>
    <mergeCell ref="AQ48:AT48"/>
    <mergeCell ref="AQ42:AT42"/>
    <mergeCell ref="AQ44:AT44"/>
    <mergeCell ref="AQ34:AT34"/>
    <mergeCell ref="AQ46:AT46"/>
    <mergeCell ref="AQ36:AT36"/>
    <mergeCell ref="AQ43:AT43"/>
    <mergeCell ref="BR27:BR28"/>
    <mergeCell ref="AQ35:AT35"/>
    <mergeCell ref="BN15:BN16"/>
    <mergeCell ref="BN17:BN18"/>
    <mergeCell ref="BN19:BN20"/>
    <mergeCell ref="BN21:BN22"/>
    <mergeCell ref="AQ51:AT51"/>
    <mergeCell ref="BT9:BT10"/>
    <mergeCell ref="BS21:BS22"/>
    <mergeCell ref="BT19:BT20"/>
    <mergeCell ref="BT21:BT22"/>
    <mergeCell ref="BP21:BP22"/>
    <mergeCell ref="BP23:BP24"/>
    <mergeCell ref="BP25:BP26"/>
    <mergeCell ref="BP9:BP10"/>
    <mergeCell ref="BR9:BR10"/>
    <mergeCell ref="BR11:BR12"/>
    <mergeCell ref="BR13:BR14"/>
    <mergeCell ref="BR15:BR16"/>
    <mergeCell ref="BR17:BR18"/>
    <mergeCell ref="BR19:BR20"/>
    <mergeCell ref="BR25:BR26"/>
    <mergeCell ref="BS15:BS16"/>
    <mergeCell ref="BS17:BS18"/>
    <mergeCell ref="BS19:BS20"/>
    <mergeCell ref="BQ9:BQ10"/>
    <mergeCell ref="BR21:BR22"/>
    <mergeCell ref="BR23:BR24"/>
    <mergeCell ref="AA8:AB8"/>
    <mergeCell ref="AQ32:AT32"/>
    <mergeCell ref="AQ31:AT31"/>
    <mergeCell ref="BQ21:BQ22"/>
    <mergeCell ref="BO25:BO26"/>
    <mergeCell ref="BO21:BO22"/>
    <mergeCell ref="BN27:BN28"/>
    <mergeCell ref="BO27:BO28"/>
    <mergeCell ref="BP27:BP28"/>
    <mergeCell ref="BQ27:BQ28"/>
    <mergeCell ref="BO13:BO14"/>
    <mergeCell ref="BO15:BO16"/>
    <mergeCell ref="BO17:BO18"/>
    <mergeCell ref="BP11:BP12"/>
    <mergeCell ref="BP13:BP14"/>
    <mergeCell ref="BP15:BP16"/>
    <mergeCell ref="BP17:BP18"/>
    <mergeCell ref="BP19:BP20"/>
    <mergeCell ref="BO19:BO20"/>
    <mergeCell ref="AK8:AK9"/>
    <mergeCell ref="BO23:BO24"/>
    <mergeCell ref="BO9:BO10"/>
    <mergeCell ref="BO11:BO12"/>
    <mergeCell ref="BN9:BN10"/>
    <mergeCell ref="BU9:BU10"/>
    <mergeCell ref="BT25:BT26"/>
    <mergeCell ref="BQ23:BQ24"/>
    <mergeCell ref="BQ25:BQ26"/>
    <mergeCell ref="BQ11:BQ12"/>
    <mergeCell ref="BQ13:BQ14"/>
    <mergeCell ref="BQ15:BQ16"/>
    <mergeCell ref="BQ17:BQ18"/>
    <mergeCell ref="BQ19:BQ20"/>
    <mergeCell ref="BU25:BU26"/>
    <mergeCell ref="BU21:BU22"/>
    <mergeCell ref="BU23:BU24"/>
    <mergeCell ref="BU11:BU12"/>
    <mergeCell ref="BU13:BU14"/>
    <mergeCell ref="BU15:BU16"/>
    <mergeCell ref="BU17:BU18"/>
    <mergeCell ref="BU19:BU20"/>
    <mergeCell ref="BT11:BT12"/>
    <mergeCell ref="BT13:BT14"/>
    <mergeCell ref="BT15:BT16"/>
    <mergeCell ref="BT17:BT18"/>
    <mergeCell ref="BS9:BS10"/>
    <mergeCell ref="BS11:BS12"/>
    <mergeCell ref="BS13:BS14"/>
    <mergeCell ref="CB9:CB10"/>
    <mergeCell ref="CD11:CD12"/>
    <mergeCell ref="BW9:BW10"/>
    <mergeCell ref="BW11:BW12"/>
    <mergeCell ref="BW13:BW14"/>
    <mergeCell ref="BW15:BW16"/>
    <mergeCell ref="BW17:BW18"/>
    <mergeCell ref="BV9:BV10"/>
    <mergeCell ref="BV11:BV12"/>
    <mergeCell ref="BV13:BV14"/>
    <mergeCell ref="BX9:BX10"/>
    <mergeCell ref="BX11:BX12"/>
    <mergeCell ref="BX13:BX14"/>
    <mergeCell ref="BX15:BX16"/>
    <mergeCell ref="BY9:BY10"/>
    <mergeCell ref="BY11:BY12"/>
    <mergeCell ref="CA13:CA14"/>
    <mergeCell ref="CA15:CA16"/>
    <mergeCell ref="CA9:CA10"/>
    <mergeCell ref="CA17:CA18"/>
    <mergeCell ref="CH13:CH14"/>
    <mergeCell ref="BW19:BW20"/>
    <mergeCell ref="BV25:BV26"/>
    <mergeCell ref="BW25:BW26"/>
    <mergeCell ref="BV21:BV22"/>
    <mergeCell ref="BV23:BV24"/>
    <mergeCell ref="BW23:BW24"/>
    <mergeCell ref="BW21:BW22"/>
    <mergeCell ref="BV15:BV16"/>
    <mergeCell ref="BV17:BV18"/>
    <mergeCell ref="BV19:BV20"/>
    <mergeCell ref="BY21:BY22"/>
    <mergeCell ref="BY13:BY14"/>
    <mergeCell ref="CF23:CF24"/>
    <mergeCell ref="CD23:CD24"/>
    <mergeCell ref="CG23:CG24"/>
    <mergeCell ref="CH23:CH24"/>
    <mergeCell ref="CB23:CB24"/>
    <mergeCell ref="CC13:CC14"/>
    <mergeCell ref="CJ9:CJ10"/>
    <mergeCell ref="CJ11:CJ12"/>
    <mergeCell ref="CJ13:CJ14"/>
    <mergeCell ref="CJ15:CJ16"/>
    <mergeCell ref="CD19:CD20"/>
    <mergeCell ref="CC15:CC16"/>
    <mergeCell ref="CF9:CF10"/>
    <mergeCell ref="CF11:CF12"/>
    <mergeCell ref="CF13:CF14"/>
    <mergeCell ref="CF15:CF16"/>
    <mergeCell ref="CF17:CF18"/>
    <mergeCell ref="CF19:CF20"/>
    <mergeCell ref="CJ17:CJ18"/>
    <mergeCell ref="CE9:CE10"/>
    <mergeCell ref="CE11:CE12"/>
    <mergeCell ref="CD9:CD10"/>
    <mergeCell ref="CC9:CC10"/>
    <mergeCell ref="CD13:CD14"/>
    <mergeCell ref="CG9:CG10"/>
    <mergeCell ref="CH9:CH10"/>
    <mergeCell ref="CG11:CG12"/>
    <mergeCell ref="CH11:CH12"/>
    <mergeCell ref="CG13:CG14"/>
    <mergeCell ref="CC11:CC12"/>
    <mergeCell ref="BZ9:BZ10"/>
    <mergeCell ref="BZ11:BZ12"/>
    <mergeCell ref="BY15:BY16"/>
    <mergeCell ref="BZ13:BZ14"/>
    <mergeCell ref="BZ15:BZ16"/>
    <mergeCell ref="BZ17:BZ18"/>
    <mergeCell ref="BZ19:BZ20"/>
    <mergeCell ref="BY19:BY20"/>
    <mergeCell ref="CJ21:CJ22"/>
    <mergeCell ref="CE19:CE20"/>
    <mergeCell ref="CE21:CE22"/>
    <mergeCell ref="CD21:CD22"/>
    <mergeCell ref="CE15:CE16"/>
    <mergeCell ref="CE17:CE18"/>
    <mergeCell ref="CF21:CF22"/>
    <mergeCell ref="CG15:CG16"/>
    <mergeCell ref="CH15:CH16"/>
    <mergeCell ref="CG17:CG18"/>
    <mergeCell ref="CH17:CH18"/>
    <mergeCell ref="CG19:CG20"/>
    <mergeCell ref="CH19:CH20"/>
    <mergeCell ref="CG21:CG22"/>
    <mergeCell ref="CH21:CH22"/>
    <mergeCell ref="CJ19:CJ20"/>
    <mergeCell ref="CJ23:CJ24"/>
    <mergeCell ref="CE13:CE14"/>
    <mergeCell ref="BX21:BX22"/>
    <mergeCell ref="BY17:BY18"/>
    <mergeCell ref="BX25:BX26"/>
    <mergeCell ref="CC25:CC26"/>
    <mergeCell ref="BZ25:BZ26"/>
    <mergeCell ref="BY25:BY26"/>
    <mergeCell ref="BX17:BX18"/>
    <mergeCell ref="BX19:BX20"/>
    <mergeCell ref="CD15:CD16"/>
    <mergeCell ref="CC17:CC18"/>
    <mergeCell ref="CD17:CD18"/>
    <mergeCell ref="CC19:CC20"/>
    <mergeCell ref="CC23:CC24"/>
    <mergeCell ref="CC21:CC22"/>
    <mergeCell ref="CE25:CE26"/>
    <mergeCell ref="CD25:CD26"/>
    <mergeCell ref="CA25:CA26"/>
    <mergeCell ref="CB25:CB26"/>
    <mergeCell ref="CE23:CE24"/>
    <mergeCell ref="CA23:CA24"/>
    <mergeCell ref="BY23:BY24"/>
    <mergeCell ref="BZ23:BZ24"/>
    <mergeCell ref="CB11:CB12"/>
    <mergeCell ref="CB13:CB14"/>
    <mergeCell ref="CB15:CB16"/>
    <mergeCell ref="CB17:CB18"/>
    <mergeCell ref="CB19:CB20"/>
    <mergeCell ref="BZ21:BZ22"/>
    <mergeCell ref="CB21:CB22"/>
    <mergeCell ref="CA19:CA20"/>
    <mergeCell ref="CA11:CA12"/>
    <mergeCell ref="CA21:CA22"/>
    <mergeCell ref="BS27:BS28"/>
    <mergeCell ref="BT27:BT28"/>
    <mergeCell ref="BU27:BU28"/>
    <mergeCell ref="BV27:BV28"/>
    <mergeCell ref="BW27:BW28"/>
    <mergeCell ref="BX27:BX28"/>
    <mergeCell ref="BY27:BY28"/>
    <mergeCell ref="BX23:BX24"/>
    <mergeCell ref="BT23:BT24"/>
    <mergeCell ref="BS23:BS24"/>
    <mergeCell ref="BS25:BS26"/>
    <mergeCell ref="BZ27:BZ28"/>
    <mergeCell ref="CA27:CA28"/>
    <mergeCell ref="CE27:CE28"/>
    <mergeCell ref="CF27:CF28"/>
    <mergeCell ref="CG27:CG28"/>
    <mergeCell ref="CH27:CH28"/>
    <mergeCell ref="CG25:CG26"/>
    <mergeCell ref="CH25:CH26"/>
    <mergeCell ref="CJ25:CJ26"/>
    <mergeCell ref="CF25:CF26"/>
    <mergeCell ref="CJ27:CJ28"/>
    <mergeCell ref="CB27:CB28"/>
    <mergeCell ref="CC27:CC28"/>
    <mergeCell ref="CD27:CD28"/>
    <mergeCell ref="CI27:CI28"/>
  </mergeCells>
  <phoneticPr fontId="2" type="noConversion"/>
  <conditionalFormatting sqref="B9:B27">
    <cfRule type="expression" dxfId="30" priority="80" stopIfTrue="1">
      <formula>IF(#REF!,TRUE)</formula>
    </cfRule>
    <cfRule type="expression" dxfId="29" priority="81" stopIfTrue="1">
      <formula>IF(#REF!,TRUE)</formula>
    </cfRule>
  </conditionalFormatting>
  <conditionalFormatting sqref="AB9:AB27">
    <cfRule type="cellIs" dxfId="28" priority="92" operator="equal">
      <formula>"p"</formula>
    </cfRule>
    <cfRule type="cellIs" dxfId="27" priority="93" operator="equal">
      <formula>"q"</formula>
    </cfRule>
  </conditionalFormatting>
  <conditionalFormatting sqref="B28">
    <cfRule type="expression" dxfId="26" priority="36" stopIfTrue="1">
      <formula>IF(#REF!,TRUE)</formula>
    </cfRule>
    <cfRule type="expression" dxfId="25" priority="37" stopIfTrue="1">
      <formula>IF(#REF!,TRUE)</formula>
    </cfRule>
  </conditionalFormatting>
  <conditionalFormatting sqref="AB28">
    <cfRule type="cellIs" dxfId="24" priority="38" operator="equal">
      <formula>"p"</formula>
    </cfRule>
    <cfRule type="cellIs" dxfId="23" priority="39" operator="equal">
      <formula>"q"</formula>
    </cfRule>
  </conditionalFormatting>
  <conditionalFormatting sqref="D9:X28">
    <cfRule type="cellIs" dxfId="22" priority="1" operator="equal">
      <formula>16</formula>
    </cfRule>
    <cfRule type="cellIs" dxfId="21" priority="2" operator="equal">
      <formula>15</formula>
    </cfRule>
    <cfRule type="cellIs" dxfId="20" priority="3" operator="equal">
      <formula>19</formula>
    </cfRule>
    <cfRule type="cellIs" dxfId="19" priority="65" operator="equal">
      <formula>18</formula>
    </cfRule>
    <cfRule type="cellIs" dxfId="18" priority="66" operator="equal">
      <formula>26</formula>
    </cfRule>
    <cfRule type="cellIs" dxfId="17" priority="67" operator="equal">
      <formula>25</formula>
    </cfRule>
    <cfRule type="cellIs" dxfId="16" priority="73" operator="equal">
      <formula>0</formula>
    </cfRule>
  </conditionalFormatting>
  <pageMargins left="0.75" right="0.75" top="1" bottom="1" header="0.5" footer="0.5"/>
  <pageSetup paperSize="9" orientation="portrait" horizontalDpi="4294967293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Blad9"/>
  <dimension ref="A1:AB23"/>
  <sheetViews>
    <sheetView showGridLines="0" showRowColHeaders="0" zoomScaleNormal="100" workbookViewId="0">
      <selection activeCell="A5" sqref="A5"/>
    </sheetView>
  </sheetViews>
  <sheetFormatPr defaultColWidth="9.28515625" defaultRowHeight="12.75" x14ac:dyDescent="0.2"/>
  <cols>
    <col min="1" max="1" width="7.7109375" style="361" customWidth="1"/>
    <col min="2" max="2" width="4" style="361" customWidth="1"/>
    <col min="3" max="3" width="13.7109375" style="361" customWidth="1"/>
    <col min="4" max="24" width="4.28515625" style="361" customWidth="1"/>
    <col min="25" max="25" width="7.28515625" style="361" customWidth="1"/>
    <col min="26" max="16384" width="9.28515625" style="361"/>
  </cols>
  <sheetData>
    <row r="1" spans="1:28" ht="8.1" customHeight="1" x14ac:dyDescent="0.2"/>
    <row r="2" spans="1:28" s="364" customFormat="1" ht="8.1" customHeight="1" x14ac:dyDescent="0.55000000000000004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</row>
    <row r="3" spans="1:28" ht="8.1" customHeight="1" x14ac:dyDescent="0.2">
      <c r="N3" s="541"/>
    </row>
    <row r="4" spans="1:28" ht="8.1" customHeight="1" x14ac:dyDescent="0.2"/>
    <row r="5" spans="1:28" ht="15" customHeight="1" x14ac:dyDescent="0.25">
      <c r="A5" s="542"/>
      <c r="N5" s="543"/>
    </row>
    <row r="6" spans="1:28" s="366" customFormat="1" ht="15" customHeight="1" x14ac:dyDescent="0.2"/>
    <row r="7" spans="1:28" ht="15" customHeight="1" x14ac:dyDescent="0.2">
      <c r="B7" s="366"/>
      <c r="C7" s="366"/>
      <c r="D7" s="366"/>
      <c r="E7" s="366"/>
      <c r="F7" s="366"/>
      <c r="G7" s="366"/>
      <c r="H7" s="416"/>
      <c r="I7" s="366"/>
      <c r="J7" s="366"/>
      <c r="K7" s="366"/>
    </row>
    <row r="8" spans="1:28" s="377" customFormat="1" ht="15" customHeight="1" x14ac:dyDescent="0.2">
      <c r="C8" s="391"/>
      <c r="D8" s="417">
        <v>1</v>
      </c>
      <c r="E8" s="417">
        <v>2</v>
      </c>
      <c r="F8" s="417">
        <v>3</v>
      </c>
      <c r="G8" s="417">
        <v>4</v>
      </c>
      <c r="H8" s="417">
        <v>5</v>
      </c>
      <c r="I8" s="417">
        <v>6</v>
      </c>
      <c r="J8" s="417">
        <v>7</v>
      </c>
      <c r="K8" s="417">
        <v>8</v>
      </c>
      <c r="L8" s="417">
        <v>9</v>
      </c>
      <c r="M8" s="417">
        <v>10</v>
      </c>
      <c r="N8" s="417">
        <v>11</v>
      </c>
      <c r="O8" s="417">
        <v>12</v>
      </c>
      <c r="P8" s="417">
        <v>13</v>
      </c>
      <c r="Q8" s="417">
        <v>14</v>
      </c>
      <c r="R8" s="417">
        <v>15</v>
      </c>
      <c r="S8" s="417">
        <v>16</v>
      </c>
      <c r="T8" s="417">
        <v>17</v>
      </c>
      <c r="U8" s="417">
        <v>18</v>
      </c>
      <c r="V8" s="417">
        <v>19</v>
      </c>
      <c r="W8" s="417">
        <v>20</v>
      </c>
      <c r="X8" s="417">
        <v>21</v>
      </c>
      <c r="Y8" s="417" t="s">
        <v>228</v>
      </c>
      <c r="AA8" s="414"/>
      <c r="AB8" s="414"/>
    </row>
    <row r="9" spans="1:28" ht="15" customHeight="1" x14ac:dyDescent="0.2">
      <c r="B9" s="293">
        <v>1</v>
      </c>
      <c r="C9" s="296" t="s">
        <v>328</v>
      </c>
      <c r="D9" s="297">
        <f>VLOOKUP($C9,punten_teams,2,0)</f>
        <v>44</v>
      </c>
      <c r="E9" s="297">
        <f>VLOOKUP($C9,punten_teams,3,0)</f>
        <v>43</v>
      </c>
      <c r="F9" s="297">
        <f>VLOOKUP($C9,punten_teams,4,0)</f>
        <v>43</v>
      </c>
      <c r="G9" s="297">
        <f>VLOOKUP($C9,punten_teams,5,0)</f>
        <v>43</v>
      </c>
      <c r="H9" s="297">
        <f>VLOOKUP($C9,punten_teams,6,0)</f>
        <v>44</v>
      </c>
      <c r="I9" s="297">
        <f>VLOOKUP($C9,punten_teams,7,0)</f>
        <v>40</v>
      </c>
      <c r="J9" s="297">
        <f>VLOOKUP($C9,punten_teams,8,0)</f>
        <v>38</v>
      </c>
      <c r="K9" s="297">
        <f>VLOOKUP($C9,punten_teams,9,0)</f>
        <v>43</v>
      </c>
      <c r="L9" s="297">
        <f>VLOOKUP($C9,punten_teams,10,0)</f>
        <v>25</v>
      </c>
      <c r="M9" s="297">
        <f>VLOOKUP($C9,punten_teams,11,0)</f>
        <v>44</v>
      </c>
      <c r="N9" s="297">
        <f>VLOOKUP($C9,punten_teams,12,0)</f>
        <v>2</v>
      </c>
      <c r="O9" s="297">
        <f>VLOOKUP($C9,punten_teams,13,0)</f>
        <v>29</v>
      </c>
      <c r="P9" s="297">
        <f>VLOOKUP($C9,punten_teams,14,0)</f>
        <v>33</v>
      </c>
      <c r="Q9" s="297">
        <f>VLOOKUP($C9,punten_teams,15,0)</f>
        <v>34</v>
      </c>
      <c r="R9" s="297">
        <f>VLOOKUP($C9,punten_teams,16,0)</f>
        <v>0</v>
      </c>
      <c r="S9" s="297">
        <f>VLOOKUP($C9,punten_teams,17,0)</f>
        <v>0</v>
      </c>
      <c r="T9" s="297">
        <f>VLOOKUP($C9,punten_teams,18,0)</f>
        <v>0</v>
      </c>
      <c r="U9" s="297">
        <f>VLOOKUP($C9,punten_teams,19,0)</f>
        <v>0</v>
      </c>
      <c r="V9" s="297">
        <f>VLOOKUP($C9,punten_teams,20,0)</f>
        <v>0</v>
      </c>
      <c r="W9" s="297">
        <f>VLOOKUP($C9,punten_teams,21,0)</f>
        <v>0</v>
      </c>
      <c r="X9" s="297">
        <f>VLOOKUP($C9,punten_teams,22,0)</f>
        <v>0</v>
      </c>
      <c r="Y9" s="297">
        <f>SUM(D9:W9)</f>
        <v>505</v>
      </c>
      <c r="AA9" s="366"/>
      <c r="AB9" s="366"/>
    </row>
    <row r="10" spans="1:28" ht="15" customHeight="1" x14ac:dyDescent="0.2">
      <c r="B10" s="293">
        <v>2</v>
      </c>
      <c r="C10" s="296" t="s">
        <v>64</v>
      </c>
      <c r="D10" s="297">
        <f>VLOOKUP($C10,punten_teams,2,0)</f>
        <v>22</v>
      </c>
      <c r="E10" s="297">
        <f>VLOOKUP($C10,punten_teams,3,0)</f>
        <v>26</v>
      </c>
      <c r="F10" s="297">
        <f>VLOOKUP($C10,punten_teams,4,0)</f>
        <v>25</v>
      </c>
      <c r="G10" s="297">
        <f>VLOOKUP($C10,punten_teams,5,0)</f>
        <v>26</v>
      </c>
      <c r="H10" s="297">
        <f>VLOOKUP($C10,punten_teams,6,0)</f>
        <v>22</v>
      </c>
      <c r="I10" s="297">
        <f>VLOOKUP($C10,punten_teams,7,0)</f>
        <v>18</v>
      </c>
      <c r="J10" s="297">
        <f>VLOOKUP($C10,punten_teams,8,0)</f>
        <v>33</v>
      </c>
      <c r="K10" s="297">
        <f>VLOOKUP($C10,punten_teams,9,0)</f>
        <v>26</v>
      </c>
      <c r="L10" s="297">
        <f>VLOOKUP($C10,punten_teams,10,0)</f>
        <v>30</v>
      </c>
      <c r="M10" s="297">
        <f>VLOOKUP($C10,punten_teams,11,0)</f>
        <v>15</v>
      </c>
      <c r="N10" s="297">
        <f>VLOOKUP($C10,punten_teams,12,0)</f>
        <v>18</v>
      </c>
      <c r="O10" s="297">
        <f>VLOOKUP($C10,punten_teams,13,0)</f>
        <v>27</v>
      </c>
      <c r="P10" s="297">
        <f>VLOOKUP($C10,punten_teams,14,0)</f>
        <v>38</v>
      </c>
      <c r="Q10" s="297">
        <f>VLOOKUP($C10,punten_teams,15,0)</f>
        <v>25</v>
      </c>
      <c r="R10" s="297">
        <f>VLOOKUP($C10,punten_teams,16,0)</f>
        <v>0</v>
      </c>
      <c r="S10" s="297">
        <f>VLOOKUP($C10,punten_teams,17,0)</f>
        <v>0</v>
      </c>
      <c r="T10" s="297">
        <f>VLOOKUP($C10,punten_teams,18,0)</f>
        <v>0</v>
      </c>
      <c r="U10" s="297">
        <f>VLOOKUP($C10,punten_teams,19,0)</f>
        <v>0</v>
      </c>
      <c r="V10" s="297">
        <f>VLOOKUP($C10,punten_teams,20,0)</f>
        <v>0</v>
      </c>
      <c r="W10" s="297">
        <f>VLOOKUP($C10,punten_teams,21,0)</f>
        <v>0</v>
      </c>
      <c r="X10" s="297">
        <f>VLOOKUP($C10,punten_teams,22,0)</f>
        <v>0</v>
      </c>
      <c r="Y10" s="297">
        <f>SUM(D10:W10)</f>
        <v>351</v>
      </c>
      <c r="AA10" s="366"/>
      <c r="AB10" s="366"/>
    </row>
    <row r="11" spans="1:28" ht="15" customHeight="1" x14ac:dyDescent="0.2">
      <c r="B11" s="293">
        <v>3</v>
      </c>
      <c r="C11" s="296" t="s">
        <v>401</v>
      </c>
      <c r="D11" s="297">
        <f>VLOOKUP($C11,punten_teams,2,0)</f>
        <v>15</v>
      </c>
      <c r="E11" s="297">
        <f>VLOOKUP($C11,punten_teams,3,0)</f>
        <v>16</v>
      </c>
      <c r="F11" s="297">
        <f>VLOOKUP($C11,punten_teams,4,0)</f>
        <v>21</v>
      </c>
      <c r="G11" s="297">
        <f>VLOOKUP($C11,punten_teams,5,0)</f>
        <v>12</v>
      </c>
      <c r="H11" s="297">
        <f>VLOOKUP($C11,punten_teams,6,0)</f>
        <v>23</v>
      </c>
      <c r="I11" s="297">
        <f>VLOOKUP($C11,punten_teams,7,0)</f>
        <v>23</v>
      </c>
      <c r="J11" s="297">
        <f>VLOOKUP($C11,punten_teams,8,0)</f>
        <v>14</v>
      </c>
      <c r="K11" s="297">
        <f>VLOOKUP($C11,punten_teams,9,0)</f>
        <v>13</v>
      </c>
      <c r="L11" s="297">
        <f>VLOOKUP($C11,punten_teams,10,0)</f>
        <v>32</v>
      </c>
      <c r="M11" s="297">
        <f>VLOOKUP($C11,punten_teams,11,0)</f>
        <v>22</v>
      </c>
      <c r="N11" s="297">
        <f>VLOOKUP($C11,punten_teams,12,0)</f>
        <v>26</v>
      </c>
      <c r="O11" s="297">
        <f>VLOOKUP($C11,punten_teams,13,0)</f>
        <v>27</v>
      </c>
      <c r="P11" s="297">
        <f>VLOOKUP($C11,punten_teams,14,0)</f>
        <v>10</v>
      </c>
      <c r="Q11" s="297">
        <f>VLOOKUP($C11,punten_teams,15,0)</f>
        <v>12</v>
      </c>
      <c r="R11" s="297">
        <f>VLOOKUP($C11,punten_teams,16,0)</f>
        <v>0</v>
      </c>
      <c r="S11" s="297">
        <f>VLOOKUP($C11,punten_teams,17,0)</f>
        <v>0</v>
      </c>
      <c r="T11" s="297">
        <f>VLOOKUP($C11,punten_teams,18,0)</f>
        <v>0</v>
      </c>
      <c r="U11" s="297">
        <f>VLOOKUP($C11,punten_teams,19,0)</f>
        <v>0</v>
      </c>
      <c r="V11" s="297">
        <f>VLOOKUP($C11,punten_teams,20,0)</f>
        <v>0</v>
      </c>
      <c r="W11" s="297">
        <f>VLOOKUP($C11,punten_teams,21,0)</f>
        <v>0</v>
      </c>
      <c r="X11" s="297">
        <f>VLOOKUP($C11,punten_teams,22,0)</f>
        <v>0</v>
      </c>
      <c r="Y11" s="297">
        <f>SUM(D11:W11)</f>
        <v>266</v>
      </c>
      <c r="AA11" s="366"/>
      <c r="AB11" s="366"/>
    </row>
    <row r="12" spans="1:28" ht="15" customHeight="1" x14ac:dyDescent="0.2">
      <c r="B12" s="293">
        <v>4</v>
      </c>
      <c r="C12" s="296" t="s">
        <v>65</v>
      </c>
      <c r="D12" s="297">
        <f>VLOOKUP($C12,punten_teams,2,0)</f>
        <v>0</v>
      </c>
      <c r="E12" s="297">
        <f>VLOOKUP($C12,punten_teams,3,0)</f>
        <v>8</v>
      </c>
      <c r="F12" s="297">
        <f>VLOOKUP($C12,punten_teams,4,0)</f>
        <v>0</v>
      </c>
      <c r="G12" s="297">
        <f>VLOOKUP($C12,punten_teams,5,0)</f>
        <v>10</v>
      </c>
      <c r="H12" s="297">
        <f>VLOOKUP($C12,punten_teams,6,0)</f>
        <v>4</v>
      </c>
      <c r="I12" s="297">
        <f>VLOOKUP($C12,punten_teams,7,0)</f>
        <v>8</v>
      </c>
      <c r="J12" s="297">
        <f>VLOOKUP($C12,punten_teams,8,0)</f>
        <v>0</v>
      </c>
      <c r="K12" s="297">
        <f>VLOOKUP($C12,punten_teams,9,0)</f>
        <v>10</v>
      </c>
      <c r="L12" s="297">
        <f>VLOOKUP($C12,punten_teams,10,0)</f>
        <v>12</v>
      </c>
      <c r="M12" s="297">
        <f>VLOOKUP($C12,punten_teams,11,0)</f>
        <v>8</v>
      </c>
      <c r="N12" s="297">
        <f>VLOOKUP($C12,punten_teams,12,0)</f>
        <v>10</v>
      </c>
      <c r="O12" s="297">
        <f>VLOOKUP($C12,punten_teams,13,0)</f>
        <v>12</v>
      </c>
      <c r="P12" s="297">
        <f>VLOOKUP($C12,punten_teams,14,0)</f>
        <v>0</v>
      </c>
      <c r="Q12" s="297">
        <f>VLOOKUP($C12,punten_teams,15,0)</f>
        <v>1</v>
      </c>
      <c r="R12" s="297">
        <f>VLOOKUP($C12,punten_teams,16,0)</f>
        <v>0</v>
      </c>
      <c r="S12" s="297">
        <f>VLOOKUP($C12,punten_teams,17,0)</f>
        <v>0</v>
      </c>
      <c r="T12" s="297">
        <f>VLOOKUP($C12,punten_teams,18,0)</f>
        <v>0</v>
      </c>
      <c r="U12" s="297">
        <f>VLOOKUP($C12,punten_teams,19,0)</f>
        <v>0</v>
      </c>
      <c r="V12" s="297">
        <f>VLOOKUP($C12,punten_teams,20,0)</f>
        <v>0</v>
      </c>
      <c r="W12" s="297">
        <f>VLOOKUP($C12,punten_teams,21,0)</f>
        <v>0</v>
      </c>
      <c r="X12" s="297">
        <f>VLOOKUP($C12,punten_teams,22,0)</f>
        <v>0</v>
      </c>
      <c r="Y12" s="297">
        <f>SUM(D12:W12)</f>
        <v>83</v>
      </c>
      <c r="AA12" s="366"/>
      <c r="AB12" s="366"/>
    </row>
    <row r="13" spans="1:28" ht="15" customHeight="1" x14ac:dyDescent="0.2">
      <c r="B13" s="293">
        <v>5</v>
      </c>
      <c r="C13" s="296" t="s">
        <v>397</v>
      </c>
      <c r="D13" s="297">
        <f>VLOOKUP($C13,punten_teams,2,0)</f>
        <v>6</v>
      </c>
      <c r="E13" s="297">
        <f>VLOOKUP($C13,punten_teams,3,0)</f>
        <v>0</v>
      </c>
      <c r="F13" s="297">
        <f>VLOOKUP($C13,punten_teams,4,0)</f>
        <v>6</v>
      </c>
      <c r="G13" s="297">
        <f>VLOOKUP($C13,punten_teams,5,0)</f>
        <v>0</v>
      </c>
      <c r="H13" s="297">
        <f>VLOOKUP($C13,punten_teams,6,0)</f>
        <v>0</v>
      </c>
      <c r="I13" s="297">
        <f>VLOOKUP($C13,punten_teams,7,0)</f>
        <v>2</v>
      </c>
      <c r="J13" s="297">
        <f>VLOOKUP($C13,punten_teams,8,0)</f>
        <v>14</v>
      </c>
      <c r="K13" s="297">
        <f>VLOOKUP($C13,punten_teams,9,0)</f>
        <v>4</v>
      </c>
      <c r="L13" s="297">
        <f>VLOOKUP($C13,punten_teams,10,0)</f>
        <v>0</v>
      </c>
      <c r="M13" s="297">
        <f>VLOOKUP($C13,punten_teams,11,0)</f>
        <v>7</v>
      </c>
      <c r="N13" s="297">
        <f>VLOOKUP($C13,punten_teams,12,0)</f>
        <v>0</v>
      </c>
      <c r="O13" s="297">
        <f>VLOOKUP($C13,punten_teams,13,0)</f>
        <v>0</v>
      </c>
      <c r="P13" s="297">
        <f>VLOOKUP($C13,punten_teams,14,0)</f>
        <v>4</v>
      </c>
      <c r="Q13" s="297">
        <f>VLOOKUP($C13,punten_teams,15,0)</f>
        <v>22</v>
      </c>
      <c r="R13" s="297">
        <f>VLOOKUP($C13,punten_teams,16,0)</f>
        <v>0</v>
      </c>
      <c r="S13" s="297">
        <f>VLOOKUP($C13,punten_teams,17,0)</f>
        <v>0</v>
      </c>
      <c r="T13" s="297">
        <f>VLOOKUP($C13,punten_teams,18,0)</f>
        <v>0</v>
      </c>
      <c r="U13" s="297">
        <f>VLOOKUP($C13,punten_teams,19,0)</f>
        <v>0</v>
      </c>
      <c r="V13" s="297">
        <f>VLOOKUP($C13,punten_teams,20,0)</f>
        <v>0</v>
      </c>
      <c r="W13" s="297">
        <f>VLOOKUP($C13,punten_teams,21,0)</f>
        <v>0</v>
      </c>
      <c r="X13" s="297">
        <f>VLOOKUP($C13,punten_teams,22,0)</f>
        <v>0</v>
      </c>
      <c r="Y13" s="297">
        <f>SUM(D13:W13)</f>
        <v>65</v>
      </c>
      <c r="AA13" s="366"/>
      <c r="AB13" s="366"/>
    </row>
    <row r="14" spans="1:28" ht="15" customHeight="1" x14ac:dyDescent="0.2">
      <c r="B14" s="293">
        <v>6</v>
      </c>
      <c r="C14" s="296" t="s">
        <v>356</v>
      </c>
      <c r="D14" s="297">
        <f>VLOOKUP($C14,punten_teams,2,0)</f>
        <v>1</v>
      </c>
      <c r="E14" s="297">
        <f>VLOOKUP($C14,punten_teams,3,0)</f>
        <v>2</v>
      </c>
      <c r="F14" s="297">
        <f>VLOOKUP($C14,punten_teams,4,0)</f>
        <v>1</v>
      </c>
      <c r="G14" s="297">
        <f>VLOOKUP($C14,punten_teams,5,0)</f>
        <v>0</v>
      </c>
      <c r="H14" s="297">
        <f>VLOOKUP($C14,punten_teams,6,0)</f>
        <v>2</v>
      </c>
      <c r="I14" s="297">
        <f>VLOOKUP($C14,punten_teams,7,0)</f>
        <v>10</v>
      </c>
      <c r="J14" s="297">
        <f>VLOOKUP($C14,punten_teams,8,0)</f>
        <v>1</v>
      </c>
      <c r="K14" s="297">
        <f>VLOOKUP($C14,punten_teams,9,0)</f>
        <v>0</v>
      </c>
      <c r="L14" s="297">
        <f>VLOOKUP($C14,punten_teams,10,0)</f>
        <v>0</v>
      </c>
      <c r="M14" s="297">
        <f>VLOOKUP($C14,punten_teams,11,0)</f>
        <v>2</v>
      </c>
      <c r="N14" s="297">
        <f>VLOOKUP($C14,punten_teams,12,0)</f>
        <v>23</v>
      </c>
      <c r="O14" s="297">
        <f>VLOOKUP($C14,punten_teams,13,0)</f>
        <v>1</v>
      </c>
      <c r="P14" s="297">
        <f>VLOOKUP($C14,punten_teams,14,0)</f>
        <v>8</v>
      </c>
      <c r="Q14" s="297">
        <f>VLOOKUP($C14,punten_teams,15,0)</f>
        <v>0</v>
      </c>
      <c r="R14" s="297">
        <f>VLOOKUP($C14,punten_teams,16,0)</f>
        <v>0</v>
      </c>
      <c r="S14" s="297">
        <f>VLOOKUP($C14,punten_teams,17,0)</f>
        <v>0</v>
      </c>
      <c r="T14" s="297">
        <f>VLOOKUP($C14,punten_teams,18,0)</f>
        <v>0</v>
      </c>
      <c r="U14" s="297">
        <f>VLOOKUP($C14,punten_teams,19,0)</f>
        <v>0</v>
      </c>
      <c r="V14" s="297">
        <f>VLOOKUP($C14,punten_teams,20,0)</f>
        <v>0</v>
      </c>
      <c r="W14" s="297">
        <f>VLOOKUP($C14,punten_teams,21,0)</f>
        <v>0</v>
      </c>
      <c r="X14" s="297">
        <f>VLOOKUP($C14,punten_teams,22,0)</f>
        <v>0</v>
      </c>
      <c r="Y14" s="297">
        <f>SUM(D14:W14)</f>
        <v>51</v>
      </c>
      <c r="AA14" s="366"/>
      <c r="AB14" s="366"/>
    </row>
    <row r="15" spans="1:28" ht="15" customHeight="1" x14ac:dyDescent="0.2">
      <c r="B15" s="293">
        <v>7</v>
      </c>
      <c r="C15" s="296" t="s">
        <v>544</v>
      </c>
      <c r="D15" s="297">
        <f>VLOOKUP($C15,punten_teams,2,0)</f>
        <v>2</v>
      </c>
      <c r="E15" s="297">
        <f>VLOOKUP($C15,punten_teams,3,0)</f>
        <v>1</v>
      </c>
      <c r="F15" s="297">
        <f>VLOOKUP($C15,punten_teams,4,0)</f>
        <v>4</v>
      </c>
      <c r="G15" s="297">
        <f>VLOOKUP($C15,punten_teams,5,0)</f>
        <v>10</v>
      </c>
      <c r="H15" s="297">
        <f>VLOOKUP($C15,punten_teams,6,0)</f>
        <v>0</v>
      </c>
      <c r="I15" s="297">
        <f>VLOOKUP($C15,punten_teams,7,0)</f>
        <v>0</v>
      </c>
      <c r="J15" s="297">
        <f>VLOOKUP($C15,punten_teams,8,0)</f>
        <v>2</v>
      </c>
      <c r="K15" s="297">
        <f>VLOOKUP($C15,punten_teams,9,0)</f>
        <v>0</v>
      </c>
      <c r="L15" s="297">
        <f>VLOOKUP($C15,punten_teams,10,0)</f>
        <v>0</v>
      </c>
      <c r="M15" s="297">
        <f>VLOOKUP($C15,punten_teams,11,0)</f>
        <v>0</v>
      </c>
      <c r="N15" s="297">
        <f>VLOOKUP($C15,punten_teams,12,0)</f>
        <v>12</v>
      </c>
      <c r="O15" s="297">
        <f>VLOOKUP($C15,punten_teams,13,0)</f>
        <v>0</v>
      </c>
      <c r="P15" s="297">
        <f>VLOOKUP($C15,punten_teams,14,0)</f>
        <v>9</v>
      </c>
      <c r="Q15" s="297">
        <f>VLOOKUP($C15,punten_teams,15,0)</f>
        <v>6</v>
      </c>
      <c r="R15" s="297">
        <f>VLOOKUP($C15,punten_teams,16,0)</f>
        <v>0</v>
      </c>
      <c r="S15" s="297">
        <f>VLOOKUP($C15,punten_teams,17,0)</f>
        <v>0</v>
      </c>
      <c r="T15" s="297">
        <f>VLOOKUP($C15,punten_teams,18,0)</f>
        <v>0</v>
      </c>
      <c r="U15" s="297">
        <f>VLOOKUP($C15,punten_teams,19,0)</f>
        <v>0</v>
      </c>
      <c r="V15" s="297">
        <f>VLOOKUP($C15,punten_teams,20,0)</f>
        <v>0</v>
      </c>
      <c r="W15" s="297">
        <f>VLOOKUP($C15,punten_teams,21,0)</f>
        <v>0</v>
      </c>
      <c r="X15" s="297">
        <f>VLOOKUP($C15,punten_teams,22,0)</f>
        <v>0</v>
      </c>
      <c r="Y15" s="297">
        <f>SUM(D15:W15)</f>
        <v>46</v>
      </c>
      <c r="AA15" s="366"/>
      <c r="AB15" s="366"/>
    </row>
    <row r="16" spans="1:28" ht="15" customHeight="1" x14ac:dyDescent="0.2">
      <c r="B16" s="293">
        <v>8</v>
      </c>
      <c r="C16" s="296" t="s">
        <v>545</v>
      </c>
      <c r="D16" s="297">
        <f>VLOOKUP($C16,punten_teams,2,0)</f>
        <v>4</v>
      </c>
      <c r="E16" s="297">
        <f>VLOOKUP($C16,punten_teams,3,0)</f>
        <v>6</v>
      </c>
      <c r="F16" s="297">
        <f>VLOOKUP($C16,punten_teams,4,0)</f>
        <v>2</v>
      </c>
      <c r="G16" s="297">
        <f>VLOOKUP($C16,punten_teams,5,0)</f>
        <v>1</v>
      </c>
      <c r="H16" s="297">
        <f>VLOOKUP($C16,punten_teams,6,0)</f>
        <v>0</v>
      </c>
      <c r="I16" s="297">
        <f>VLOOKUP($C16,punten_teams,7,0)</f>
        <v>0</v>
      </c>
      <c r="J16" s="297">
        <f>VLOOKUP($C16,punten_teams,8,0)</f>
        <v>0</v>
      </c>
      <c r="K16" s="297">
        <f>VLOOKUP($C16,punten_teams,9,0)</f>
        <v>6</v>
      </c>
      <c r="L16" s="297">
        <f>VLOOKUP($C16,punten_teams,10,0)</f>
        <v>3</v>
      </c>
      <c r="M16" s="297">
        <f>VLOOKUP($C16,punten_teams,11,0)</f>
        <v>4</v>
      </c>
      <c r="N16" s="297">
        <f>VLOOKUP($C16,punten_teams,12,0)</f>
        <v>0</v>
      </c>
      <c r="O16" s="297">
        <f>VLOOKUP($C16,punten_teams,13,0)</f>
        <v>6</v>
      </c>
      <c r="P16" s="297">
        <f>VLOOKUP($C16,punten_teams,14,0)</f>
        <v>0</v>
      </c>
      <c r="Q16" s="297">
        <f>VLOOKUP($C16,punten_teams,15,0)</f>
        <v>2</v>
      </c>
      <c r="R16" s="297">
        <f>VLOOKUP($C16,punten_teams,16,0)</f>
        <v>0</v>
      </c>
      <c r="S16" s="297">
        <f>VLOOKUP($C16,punten_teams,17,0)</f>
        <v>0</v>
      </c>
      <c r="T16" s="297">
        <f>VLOOKUP($C16,punten_teams,18,0)</f>
        <v>0</v>
      </c>
      <c r="U16" s="297">
        <f>VLOOKUP($C16,punten_teams,19,0)</f>
        <v>0</v>
      </c>
      <c r="V16" s="297">
        <f>VLOOKUP($C16,punten_teams,20,0)</f>
        <v>0</v>
      </c>
      <c r="W16" s="297">
        <f>VLOOKUP($C16,punten_teams,21,0)</f>
        <v>0</v>
      </c>
      <c r="X16" s="297">
        <f>VLOOKUP($C16,punten_teams,22,0)</f>
        <v>0</v>
      </c>
      <c r="Y16" s="297">
        <f>SUM(D16:W16)</f>
        <v>34</v>
      </c>
      <c r="AA16" s="366"/>
      <c r="AB16" s="366"/>
    </row>
    <row r="17" spans="2:28" ht="15" customHeight="1" x14ac:dyDescent="0.2">
      <c r="B17" s="293">
        <v>9</v>
      </c>
      <c r="C17" s="296" t="s">
        <v>421</v>
      </c>
      <c r="D17" s="297">
        <f>VLOOKUP($C17,punten_teams,2,0)</f>
        <v>8</v>
      </c>
      <c r="E17" s="297">
        <f>VLOOKUP($C17,punten_teams,3,0)</f>
        <v>0</v>
      </c>
      <c r="F17" s="297">
        <f>VLOOKUP($C17,punten_teams,4,0)</f>
        <v>0</v>
      </c>
      <c r="G17" s="297">
        <f>VLOOKUP($C17,punten_teams,5,0)</f>
        <v>0</v>
      </c>
      <c r="H17" s="297">
        <f>VLOOKUP($C17,punten_teams,6,0)</f>
        <v>7</v>
      </c>
      <c r="I17" s="297">
        <f>VLOOKUP($C17,punten_teams,7,0)</f>
        <v>1</v>
      </c>
      <c r="J17" s="297">
        <f>VLOOKUP($C17,punten_teams,8,0)</f>
        <v>0</v>
      </c>
      <c r="K17" s="297">
        <f>VLOOKUP($C17,punten_teams,9,0)</f>
        <v>0</v>
      </c>
      <c r="L17" s="297">
        <f>VLOOKUP($C17,punten_teams,10,0)</f>
        <v>0</v>
      </c>
      <c r="M17" s="297">
        <f>VLOOKUP($C17,punten_teams,11,0)</f>
        <v>0</v>
      </c>
      <c r="N17" s="297">
        <f>VLOOKUP($C17,punten_teams,12,0)</f>
        <v>10</v>
      </c>
      <c r="O17" s="297">
        <f>VLOOKUP($C17,punten_teams,13,0)</f>
        <v>0</v>
      </c>
      <c r="P17" s="297">
        <f>VLOOKUP($C17,punten_teams,14,0)</f>
        <v>0</v>
      </c>
      <c r="Q17" s="297">
        <f>VLOOKUP($C17,punten_teams,15,0)</f>
        <v>0</v>
      </c>
      <c r="R17" s="297">
        <f>VLOOKUP($C17,punten_teams,16,0)</f>
        <v>0</v>
      </c>
      <c r="S17" s="297">
        <f>VLOOKUP($C17,punten_teams,17,0)</f>
        <v>0</v>
      </c>
      <c r="T17" s="297">
        <f>VLOOKUP($C17,punten_teams,18,0)</f>
        <v>0</v>
      </c>
      <c r="U17" s="297">
        <f>VLOOKUP($C17,punten_teams,19,0)</f>
        <v>0</v>
      </c>
      <c r="V17" s="297">
        <f>VLOOKUP($C17,punten_teams,20,0)</f>
        <v>0</v>
      </c>
      <c r="W17" s="297">
        <f>VLOOKUP($C17,punten_teams,21,0)</f>
        <v>0</v>
      </c>
      <c r="X17" s="297">
        <f>VLOOKUP($C17,punten_teams,22,0)</f>
        <v>0</v>
      </c>
      <c r="Y17" s="297">
        <f>SUM(D17:W17)</f>
        <v>26</v>
      </c>
      <c r="AA17" s="366"/>
      <c r="AB17" s="366"/>
    </row>
    <row r="18" spans="2:28" ht="15" customHeight="1" x14ac:dyDescent="0.2">
      <c r="B18" s="293">
        <v>10</v>
      </c>
      <c r="C18" s="296" t="s">
        <v>77</v>
      </c>
      <c r="D18" s="297">
        <f>VLOOKUP($C18,punten_teams,2,0)</f>
        <v>0</v>
      </c>
      <c r="E18" s="297">
        <f>VLOOKUP($C18,punten_teams,3,0)</f>
        <v>0</v>
      </c>
      <c r="F18" s="297">
        <f>VLOOKUP($C18,punten_teams,4,0)</f>
        <v>0</v>
      </c>
      <c r="G18" s="297">
        <f>VLOOKUP($C18,punten_teams,5,0)</f>
        <v>0</v>
      </c>
      <c r="H18" s="297">
        <f>VLOOKUP($C18,punten_teams,6,0)</f>
        <v>0</v>
      </c>
      <c r="I18" s="297">
        <f>VLOOKUP($C18,punten_teams,7,0)</f>
        <v>0</v>
      </c>
      <c r="J18" s="297">
        <f>VLOOKUP($C18,punten_teams,8,0)</f>
        <v>0</v>
      </c>
      <c r="K18" s="297">
        <f>VLOOKUP($C18,punten_teams,9,0)</f>
        <v>0</v>
      </c>
      <c r="L18" s="297">
        <f>VLOOKUP($C18,punten_teams,10,0)</f>
        <v>0</v>
      </c>
      <c r="M18" s="297">
        <f>VLOOKUP($C18,punten_teams,11,0)</f>
        <v>0</v>
      </c>
      <c r="N18" s="297">
        <f>VLOOKUP($C18,punten_teams,12,0)</f>
        <v>1</v>
      </c>
      <c r="O18" s="297">
        <f>VLOOKUP($C18,punten_teams,13,0)</f>
        <v>0</v>
      </c>
      <c r="P18" s="297">
        <f>VLOOKUP($C18,punten_teams,14,0)</f>
        <v>0</v>
      </c>
      <c r="Q18" s="297">
        <f>VLOOKUP($C18,punten_teams,15,0)</f>
        <v>0</v>
      </c>
      <c r="R18" s="297">
        <f>VLOOKUP($C18,punten_teams,16,0)</f>
        <v>0</v>
      </c>
      <c r="S18" s="297">
        <f>VLOOKUP($C18,punten_teams,17,0)</f>
        <v>0</v>
      </c>
      <c r="T18" s="297">
        <f>VLOOKUP($C18,punten_teams,18,0)</f>
        <v>0</v>
      </c>
      <c r="U18" s="297">
        <f>VLOOKUP($C18,punten_teams,19,0)</f>
        <v>0</v>
      </c>
      <c r="V18" s="297">
        <f>VLOOKUP($C18,punten_teams,20,0)</f>
        <v>0</v>
      </c>
      <c r="W18" s="297">
        <f>VLOOKUP($C18,punten_teams,21,0)</f>
        <v>0</v>
      </c>
      <c r="X18" s="297">
        <f>VLOOKUP($C18,punten_teams,22,0)</f>
        <v>0</v>
      </c>
      <c r="Y18" s="297">
        <f>SUM(D18:W18)</f>
        <v>1</v>
      </c>
      <c r="AA18" s="366"/>
      <c r="AB18" s="366"/>
    </row>
    <row r="19" spans="2:28" ht="15" customHeight="1" x14ac:dyDescent="0.2">
      <c r="B19" s="366"/>
      <c r="C19" s="366"/>
      <c r="D19" s="366"/>
      <c r="E19" s="366"/>
      <c r="F19" s="366"/>
      <c r="G19" s="366"/>
      <c r="H19" s="416"/>
      <c r="I19" s="366"/>
      <c r="J19" s="366"/>
      <c r="K19" s="366"/>
    </row>
    <row r="20" spans="2:28" x14ac:dyDescent="0.2">
      <c r="B20" s="366"/>
      <c r="C20" s="366"/>
      <c r="D20" s="366"/>
      <c r="E20" s="366"/>
      <c r="F20" s="366"/>
      <c r="G20" s="366"/>
      <c r="H20" s="416"/>
      <c r="I20" s="366"/>
      <c r="J20" s="366"/>
      <c r="K20" s="366"/>
    </row>
    <row r="21" spans="2:28" x14ac:dyDescent="0.2">
      <c r="B21" s="366"/>
      <c r="C21" s="366"/>
      <c r="D21" s="366"/>
      <c r="E21" s="366"/>
      <c r="F21" s="366"/>
      <c r="G21" s="366"/>
      <c r="H21" s="416"/>
      <c r="I21" s="366"/>
      <c r="J21" s="366"/>
      <c r="K21" s="366"/>
    </row>
    <row r="22" spans="2:28" x14ac:dyDescent="0.2">
      <c r="B22" s="366"/>
      <c r="C22" s="366"/>
      <c r="D22" s="366"/>
      <c r="E22" s="366"/>
      <c r="F22" s="366"/>
      <c r="G22" s="366"/>
      <c r="H22" s="416"/>
      <c r="I22" s="366"/>
      <c r="J22" s="366"/>
      <c r="K22" s="366"/>
    </row>
    <row r="23" spans="2:28" x14ac:dyDescent="0.2">
      <c r="B23" s="366"/>
      <c r="C23" s="366"/>
      <c r="D23" s="366"/>
      <c r="E23" s="366"/>
      <c r="F23" s="366"/>
      <c r="G23" s="366"/>
      <c r="H23" s="366"/>
      <c r="I23" s="366"/>
      <c r="J23" s="366"/>
      <c r="K23" s="366"/>
    </row>
  </sheetData>
  <sheetProtection sheet="1" selectLockedCells="1" sort="0" selectUnlockedCells="1"/>
  <sortState xmlns:xlrd2="http://schemas.microsoft.com/office/spreadsheetml/2017/richdata2" ref="C9:Y18">
    <sortCondition descending="1" ref="Y9"/>
  </sortState>
  <phoneticPr fontId="2" type="noConversion"/>
  <conditionalFormatting sqref="D9:V18">
    <cfRule type="cellIs" dxfId="15" priority="9" stopIfTrue="1" operator="equal">
      <formula>0</formula>
    </cfRule>
  </conditionalFormatting>
  <conditionalFormatting sqref="B9:B18">
    <cfRule type="expression" dxfId="14" priority="4" stopIfTrue="1">
      <formula>IF(#REF!,TRUE)</formula>
    </cfRule>
    <cfRule type="expression" dxfId="13" priority="5" stopIfTrue="1">
      <formula>IF(#REF!,TRUE)</formula>
    </cfRule>
  </conditionalFormatting>
  <conditionalFormatting sqref="W9:W18">
    <cfRule type="cellIs" dxfId="12" priority="3" stopIfTrue="1" operator="equal">
      <formula>0</formula>
    </cfRule>
  </conditionalFormatting>
  <conditionalFormatting sqref="X9:X18">
    <cfRule type="cellIs" dxfId="11" priority="1" stopIfTrue="1" operator="equal">
      <formula>0</formula>
    </cfRule>
  </conditionalFormatting>
  <pageMargins left="0.75" right="0.75" top="1" bottom="1" header="0.5" footer="0.5"/>
  <pageSetup paperSize="9" orientation="portrait" horizontalDpi="4294967293" verticalDpi="4294967293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52EC2-D3CA-4993-BC37-8852964F743F}">
  <sheetPr codeName="Blad7"/>
  <dimension ref="C1:AW35"/>
  <sheetViews>
    <sheetView showRowColHeaders="0" zoomScaleNormal="100" workbookViewId="0"/>
  </sheetViews>
  <sheetFormatPr defaultColWidth="9.140625" defaultRowHeight="12.75" x14ac:dyDescent="0.2"/>
  <cols>
    <col min="1" max="1" width="6.42578125" style="666" customWidth="1"/>
    <col min="2" max="2" width="11.28515625" style="666" customWidth="1"/>
    <col min="3" max="23" width="6" style="666" customWidth="1"/>
    <col min="24" max="26" width="9.140625" style="666"/>
    <col min="27" max="27" width="11.7109375" style="666" hidden="1" customWidth="1"/>
    <col min="28" max="48" width="6.7109375" style="666" hidden="1" customWidth="1"/>
    <col min="49" max="49" width="9.140625" style="666" customWidth="1"/>
    <col min="50" max="16384" width="9.140625" style="666"/>
  </cols>
  <sheetData>
    <row r="1" spans="3:48" x14ac:dyDescent="0.2">
      <c r="AA1" s="672"/>
      <c r="AB1" s="672"/>
      <c r="AC1" s="672"/>
      <c r="AD1" s="672"/>
      <c r="AE1" s="672"/>
      <c r="AF1" s="672"/>
      <c r="AG1" s="672"/>
      <c r="AH1" s="672"/>
      <c r="AI1" s="672"/>
      <c r="AJ1" s="672"/>
      <c r="AK1" s="672"/>
      <c r="AL1" s="672"/>
      <c r="AM1" s="672"/>
      <c r="AN1" s="672"/>
      <c r="AO1" s="672"/>
      <c r="AP1" s="672"/>
      <c r="AQ1" s="672"/>
      <c r="AR1" s="672"/>
      <c r="AS1" s="672"/>
      <c r="AT1" s="672"/>
      <c r="AU1" s="672"/>
      <c r="AV1" s="672"/>
    </row>
    <row r="6" spans="3:48" ht="20.45" customHeight="1" x14ac:dyDescent="0.2">
      <c r="C6" s="671"/>
      <c r="D6" s="671"/>
      <c r="E6" s="671"/>
      <c r="F6" s="780" t="s">
        <v>673</v>
      </c>
      <c r="G6" s="780"/>
      <c r="H6" s="780"/>
      <c r="I6" s="780"/>
      <c r="J6" s="780"/>
      <c r="K6" s="780"/>
      <c r="L6" s="780"/>
      <c r="M6" s="780"/>
      <c r="N6" s="780"/>
      <c r="O6" s="780"/>
      <c r="P6" s="780"/>
      <c r="Q6" s="780"/>
      <c r="R6" s="780"/>
      <c r="S6" s="780"/>
      <c r="T6" s="671"/>
      <c r="U6" s="671"/>
      <c r="V6" s="671"/>
      <c r="W6" s="671"/>
    </row>
    <row r="7" spans="3:48" ht="13.5" thickBot="1" x14ac:dyDescent="0.25">
      <c r="AA7" s="667"/>
      <c r="AB7" s="667"/>
      <c r="AC7" s="667"/>
      <c r="AD7" s="667"/>
      <c r="AE7" s="667"/>
      <c r="AF7" s="667"/>
      <c r="AG7" s="667"/>
      <c r="AH7" s="667"/>
      <c r="AI7" s="667"/>
      <c r="AJ7" s="667"/>
      <c r="AK7" s="667"/>
      <c r="AL7" s="667"/>
      <c r="AM7" s="667"/>
      <c r="AN7" s="667"/>
      <c r="AO7" s="667"/>
      <c r="AP7" s="667"/>
      <c r="AQ7" s="667"/>
      <c r="AR7" s="667"/>
      <c r="AS7" s="667"/>
      <c r="AT7" s="667"/>
      <c r="AU7" s="667"/>
      <c r="AV7" s="667"/>
    </row>
    <row r="8" spans="3:48" ht="13.5" thickBot="1" x14ac:dyDescent="0.25">
      <c r="AB8" s="663">
        <v>1</v>
      </c>
      <c r="AC8" s="664">
        <v>2</v>
      </c>
      <c r="AD8" s="664">
        <v>3</v>
      </c>
      <c r="AE8" s="664">
        <v>4</v>
      </c>
      <c r="AF8" s="664">
        <v>5</v>
      </c>
      <c r="AG8" s="664">
        <v>6</v>
      </c>
      <c r="AH8" s="664">
        <v>7</v>
      </c>
      <c r="AI8" s="664">
        <v>8</v>
      </c>
      <c r="AJ8" s="664">
        <v>9</v>
      </c>
      <c r="AK8" s="664">
        <v>10</v>
      </c>
      <c r="AL8" s="664">
        <v>11</v>
      </c>
      <c r="AM8" s="664">
        <v>12</v>
      </c>
      <c r="AN8" s="664">
        <v>13</v>
      </c>
      <c r="AO8" s="664">
        <v>14</v>
      </c>
      <c r="AP8" s="664">
        <v>15</v>
      </c>
      <c r="AQ8" s="664">
        <v>16</v>
      </c>
      <c r="AR8" s="664">
        <v>17</v>
      </c>
      <c r="AS8" s="664">
        <v>18</v>
      </c>
      <c r="AT8" s="664">
        <v>19</v>
      </c>
      <c r="AU8" s="664">
        <v>20</v>
      </c>
      <c r="AV8" s="665">
        <v>21</v>
      </c>
    </row>
    <row r="9" spans="3:48" x14ac:dyDescent="0.2">
      <c r="AA9" s="668" t="s">
        <v>328</v>
      </c>
      <c r="AB9" s="676">
        <f>(IF(Blad4!B2="L. Hamilton",1,0)+IF(Blad4!B2="V. Bottas",1,0)+IF(Blad4!D2="L. Hamilton",2,0)+IF(Blad4!D2="V. Bottas",2,0)+IF(Blad4!F2="L. Hamilton",3,0)+IF(Blad4!F2="V. Bottas",3,0)+IF(Blad4!H2="L. Hamilton",4,0)+IF(Blad4!H2="V. Bottas",4,0)+IF(Blad4!J2="L. Hamilton",5,0)+IF(Blad4!J2="V. Bottas",5,0)+IF(Blad4!L2="L. Hamilton",6,0)+IF(Blad4!L2="V. Bottas",6,0)+IF(Blad4!N2="L. Hamilton",7,0)+IF(Blad4!N2="V. Bottas",7,0)+IF(Blad4!P2="L. Hamilton",8,0)+IF(Blad4!P2="V. Bottas",8,0)+IF(Blad4!R2="L. Hamilton",9,0)+IF(Blad4!R2="V. Bottas",9,0)+IF(Blad4!T2="L. Hamilton",10,0)+IF(Blad4!T2="V. Bottas",10,0)+IF(Blad4!V2="L. Hamilton",11,0)+IF(Blad4!V2="V. Bottas",11,0)+IF(Blad4!X2="L. Hamilton",12,0)+IF(Blad4!X2="V. Bottas",12,0)+IF(Blad4!Z2="L. Hamilton",13,0)+IF(Blad4!Z2="V. Bottas",13,0)+IF(Blad4!AB2="L. Hamilton",14,0)+IF(Blad4!AB2="V. Bottas",14,0)+IF(Blad4!AD2="L. Hamilton",15,0)+IF(Blad4!AD2="V. Bottas",15,0)+IF(Blad4!AF2="L. Hamilton",16,0)+IF(Blad4!AF2="V. Bottas",16,0)+IF(Blad4!AH2="L. Hamilton",17,0)+IF(Blad4!AH2="V. Bottas",17,0)+IF(Blad4!AJ2="L. Hamilton",18,0)+IF(Blad4!AJ2="V. Bottas",18,0)+IF(Blad4!AL2="L. Hamilton",19,0)+IF(Blad4!AL2="V. Bottas",19,0)+IF(Blad4!AN2="L. Hamilton",20,0)+IF(Blad4!AN2="V. Bottas",20,0))/2</f>
        <v>1.5</v>
      </c>
      <c r="AC9" s="677">
        <f>(IF(Blad4!B3="L. Hamilton",1,0)+IF(Blad4!B3="V. Bottas",1,0)+IF(Blad4!D3="L. Hamilton",2,0)+IF(Blad4!D3="V. Bottas",2,0)+IF(Blad4!F3="L. Hamilton",3,0)+IF(Blad4!F3="V. Bottas",3,0)+IF(Blad4!H3="L. Hamilton",4,0)+IF(Blad4!H3="V. Bottas",4,0)+IF(Blad4!J3="L. Hamilton",5,0)+IF(Blad4!J3="V. Bottas",5,0)+IF(Blad4!L3="L. Hamilton",6,0)+IF(Blad4!L3="V. Bottas",6,0)+IF(Blad4!N3="L. Hamilton",7,0)+IF(Blad4!N3="V. Bottas",7,0)+IF(Blad4!P3="L. Hamilton",8,0)+IF(Blad4!P3="V. Bottas",8,0)+IF(Blad4!R3="L. Hamilton",9,0)+IF(Blad4!R3="V. Bottas",9,0)+IF(Blad4!T3="L. Hamilton",10,0)+IF(Blad4!T3="V. Bottas",10,0)+IF(Blad4!V3="L. Hamilton",11,0)+IF(Blad4!V3="V. Bottas",11,0)+IF(Blad4!X3="L. Hamilton",12,0)+IF(Blad4!X3="V. Bottas",12,0)+IF(Blad4!Z3="L. Hamilton",13,0)+IF(Blad4!Z3="V. Bottas",13,0)+IF(Blad4!AB3="L. Hamilton",14,0)+IF(Blad4!AB3="V. Bottas",14,0)+IF(Blad4!AD3="L. Hamilton",15,0)+IF(Blad4!AD3="V. Bottas",15,0)+IF(Blad4!AF3="L. Hamilton",16,0)+IF(Blad4!AF3="V. Bottas",16,0)+IF(Blad4!AH3="L. Hamilton",17,0)+IF(Blad4!AH3="V. Bottas",17,0)+IF(Blad4!AJ3="L. Hamilton",18,0)+IF(Blad4!AJ3="V. Bottas",18,0)+IF(Blad4!AL3="L. Hamilton",19,0)+IF(Blad4!AL3="V. Bottas",19,0)+IF(Blad4!AN3="L. Hamilton",20,0)+IF(Blad4!AN3="V. Bottas",20,0))/2</f>
        <v>3.5</v>
      </c>
      <c r="AD9" s="677">
        <f>(IF(Blad4!B4="L. Hamilton",1,0)+IF(Blad4!B4="V. Bottas",1,0)+IF(Blad4!D4="L. Hamilton",2,0)+IF(Blad4!D4="V. Bottas",2,0)+IF(Blad4!F4="L. Hamilton",3,0)+IF(Blad4!F4="V. Bottas",3,0)+IF(Blad4!H4="L. Hamilton",4,0)+IF(Blad4!H4="V. Bottas",4,0)+IF(Blad4!J4="L. Hamilton",5,0)+IF(Blad4!J4="V. Bottas",5,0)+IF(Blad4!L4="L. Hamilton",6,0)+IF(Blad4!L4="V. Bottas",6,0)+IF(Blad4!N4="L. Hamilton",7,0)+IF(Blad4!N4="V. Bottas",7,0)+IF(Blad4!P4="L. Hamilton",8,0)+IF(Blad4!P4="V. Bottas",8,0)+IF(Blad4!R4="L. Hamilton",9,0)+IF(Blad4!R4="V. Bottas",9,0)+IF(Blad4!T4="L. Hamilton",10,0)+IF(Blad4!T4="V. Bottas",10,0)+IF(Blad4!V4="L. Hamilton",11,0)+IF(Blad4!V4="V. Bottas",11,0)+IF(Blad4!X4="L. Hamilton",12,0)+IF(Blad4!X4="V. Bottas",12,0)+IF(Blad4!Z4="L. Hamilton",13,0)+IF(Blad4!Z4="V. Bottas",13,0)+IF(Blad4!AB4="L. Hamilton",14,0)+IF(Blad4!AB4="V. Bottas",14,0)+IF(Blad4!AD4="L. Hamilton",15,0)+IF(Blad4!AD4="V. Bottas",15,0)+IF(Blad4!AF4="L. Hamilton",16,0)+IF(Blad4!AF4="V. Bottas",16,0)+IF(Blad4!AH4="L. Hamilton",17,0)+IF(Blad4!AH4="V. Bottas",17,0)+IF(Blad4!AJ4="L. Hamilton",18,0)+IF(Blad4!AJ4="V. Bottas",18,0)+IF(Blad4!AL4="L. Hamilton",19,0)+IF(Blad4!AL4="V. Bottas",19,0)+IF(Blad4!AN4="L. Hamilton",20,0)+IF(Blad4!AN4="V. Bottas",20,0))/2</f>
        <v>1.5</v>
      </c>
      <c r="AE9" s="677">
        <f>(IF(Blad4!B5="L. Hamilton",1,0)+IF(Blad4!B5="V. Bottas",1,0)+IF(Blad4!D5="L. Hamilton",2,0)+IF(Blad4!D5="V. Bottas",2,0)+IF(Blad4!F5="L. Hamilton",3,0)+IF(Blad4!F5="V. Bottas",3,0)+IF(Blad4!H5="L. Hamilton",4,0)+IF(Blad4!H5="V. Bottas",4,0)+IF(Blad4!J5="L. Hamilton",5,0)+IF(Blad4!J5="V. Bottas",5,0)+IF(Blad4!L5="L. Hamilton",6,0)+IF(Blad4!L5="V. Bottas",6,0)+IF(Blad4!N5="L. Hamilton",7,0)+IF(Blad4!N5="V. Bottas",7,0)+IF(Blad4!P5="L. Hamilton",8,0)+IF(Blad4!P5="V. Bottas",8,0)+IF(Blad4!R5="L. Hamilton",9,0)+IF(Blad4!R5="V. Bottas",9,0)+IF(Blad4!T5="L. Hamilton",10,0)+IF(Blad4!T5="V. Bottas",10,0)+IF(Blad4!V5="L. Hamilton",11,0)+IF(Blad4!V5="V. Bottas",11,0)+IF(Blad4!X5="L. Hamilton",12,0)+IF(Blad4!X5="V. Bottas",12,0)+IF(Blad4!Z5="L. Hamilton",13,0)+IF(Blad4!Z5="V. Bottas",13,0)+IF(Blad4!AB5="L. Hamilton",14,0)+IF(Blad4!AB5="V. Bottas",14,0)+IF(Blad4!AD5="L. Hamilton",15,0)+IF(Blad4!AD5="V. Bottas",15,0)+IF(Blad4!AF5="L. Hamilton",16,0)+IF(Blad4!AF5="V. Bottas",16,0)+IF(Blad4!AH5="L. Hamilton",17,0)+IF(Blad4!AH5="V. Bottas",17,0)+IF(Blad4!AJ5="L. Hamilton",18,0)+IF(Blad4!AJ5="V. Bottas",18,0)+IF(Blad4!AL5="L. Hamilton",19,0)+IF(Blad4!AL5="V. Bottas",19,0)+IF(Blad4!AN5="L. Hamilton",20,0)+IF(Blad4!AN5="V. Bottas",20,0))/2</f>
        <v>1.5</v>
      </c>
      <c r="AF9" s="677">
        <f>(IF(Blad4!B6="L. Hamilton",1,0)+IF(Blad4!B6="V. Bottas",1,0)+IF(Blad4!D6="L. Hamilton",2,0)+IF(Blad4!D6="V. Bottas",2,0)+IF(Blad4!F6="L. Hamilton",3,0)+IF(Blad4!F6="V. Bottas",3,0)+IF(Blad4!H6="L. Hamilton",4,0)+IF(Blad4!H6="V. Bottas",4,0)+IF(Blad4!J6="L. Hamilton",5,0)+IF(Blad4!J6="V. Bottas",5,0)+IF(Blad4!L6="L. Hamilton",6,0)+IF(Blad4!L6="V. Bottas",6,0)+IF(Blad4!N6="L. Hamilton",7,0)+IF(Blad4!N6="V. Bottas",7,0)+IF(Blad4!P6="L. Hamilton",8,0)+IF(Blad4!P6="V. Bottas",8,0)+IF(Blad4!R6="L. Hamilton",9,0)+IF(Blad4!R6="V. Bottas",9,0)+IF(Blad4!T6="L. Hamilton",10,0)+IF(Blad4!T6="V. Bottas",10,0)+IF(Blad4!V6="L. Hamilton",11,0)+IF(Blad4!V6="V. Bottas",11,0)+IF(Blad4!X6="L. Hamilton",12,0)+IF(Blad4!X6="V. Bottas",12,0)+IF(Blad4!Z6="L. Hamilton",13,0)+IF(Blad4!Z6="V. Bottas",13,0)+IF(Blad4!AB6="L. Hamilton",14,0)+IF(Blad4!AB6="V. Bottas",14,0)+IF(Blad4!AD6="L. Hamilton",15,0)+IF(Blad4!AD6="V. Bottas",15,0)+IF(Blad4!AF6="L. Hamilton",16,0)+IF(Blad4!AF6="V. Bottas",16,0)+IF(Blad4!AH6="L. Hamilton",17,0)+IF(Blad4!AH6="V. Bottas",17,0)+IF(Blad4!AJ6="L. Hamilton",18,0)+IF(Blad4!AJ6="V. Bottas",18,0)+IF(Blad4!AL6="L. Hamilton",19,0)+IF(Blad4!AL6="V. Bottas",19,0)+IF(Blad4!AN6="L. Hamilton",20,0)+IF(Blad4!AN6="V. Bottas",20,0))/2</f>
        <v>1.5</v>
      </c>
      <c r="AG9" s="677">
        <f>(IF(Blad4!B7="L. Hamilton",1,0)+IF(Blad4!B7="V. Bottas",1,0)+IF(Blad4!D7="L. Hamilton",2,0)+IF(Blad4!D7="V. Bottas",2,0)+IF(Blad4!F7="L. Hamilton",3,0)+IF(Blad4!F7="V. Bottas",3,0)+IF(Blad4!H7="L. Hamilton",4,0)+IF(Blad4!H7="V. Bottas",4,0)+IF(Blad4!J7="L. Hamilton",5,0)+IF(Blad4!J7="V. Bottas",5,0)+IF(Blad4!L7="L. Hamilton",6,0)+IF(Blad4!L7="V. Bottas",6,0)+IF(Blad4!N7="L. Hamilton",7,0)+IF(Blad4!N7="V. Bottas",7,0)+IF(Blad4!P7="L. Hamilton",8,0)+IF(Blad4!P7="V. Bottas",8,0)+IF(Blad4!R7="L. Hamilton",9,0)+IF(Blad4!R7="V. Bottas",9,0)+IF(Blad4!T7="L. Hamilton",10,0)+IF(Blad4!T7="V. Bottas",10,0)+IF(Blad4!V7="L. Hamilton",11,0)+IF(Blad4!V7="V. Bottas",11,0)+IF(Blad4!X7="L. Hamilton",12,0)+IF(Blad4!X7="V. Bottas",12,0)+IF(Blad4!Z7="L. Hamilton",13,0)+IF(Blad4!Z7="V. Bottas",13,0)+IF(Blad4!AB7="L. Hamilton",14,0)+IF(Blad4!AB7="V. Bottas",14,0)+IF(Blad4!AD7="L. Hamilton",15,0)+IF(Blad4!AD7="V. Bottas",15,0)+IF(Blad4!AF7="L. Hamilton",16,0)+IF(Blad4!AF7="V. Bottas",16,0)+IF(Blad4!AH7="L. Hamilton",17,0)+IF(Blad4!AH7="V. Bottas",17,0)+IF(Blad4!AJ7="L. Hamilton",18,0)+IF(Blad4!AJ7="V. Bottas",18,0)+IF(Blad4!AL7="L. Hamilton",19,0)+IF(Blad4!AL7="V. Bottas",19,0)+IF(Blad4!AN7="L. Hamilton",20,0)+IF(Blad4!AN7="V. Bottas",20,0))/2</f>
        <v>1.5</v>
      </c>
      <c r="AH9" s="677">
        <f>(IF(Blad4!B8="L. Hamilton",1,0)+IF(Blad4!B8="V. Bottas",1,0)+IF(Blad4!D8="L. Hamilton",2,0)+IF(Blad4!D8="V. Bottas",2,0)+IF(Blad4!F8="L. Hamilton",3,0)+IF(Blad4!F8="V. Bottas",3,0)+IF(Blad4!H8="L. Hamilton",4,0)+IF(Blad4!H8="V. Bottas",4,0)+IF(Blad4!J8="L. Hamilton",5,0)+IF(Blad4!J8="V. Bottas",5,0)+IF(Blad4!L8="L. Hamilton",6,0)+IF(Blad4!L8="V. Bottas",6,0)+IF(Blad4!N8="L. Hamilton",7,0)+IF(Blad4!N8="V. Bottas",7,0)+IF(Blad4!P8="L. Hamilton",8,0)+IF(Blad4!P8="V. Bottas",8,0)+IF(Blad4!R8="L. Hamilton",9,0)+IF(Blad4!R8="V. Bottas",9,0)+IF(Blad4!T8="L. Hamilton",10,0)+IF(Blad4!T8="V. Bottas",10,0)+IF(Blad4!V8="L. Hamilton",11,0)+IF(Blad4!V8="V. Bottas",11,0)+IF(Blad4!X8="L. Hamilton",12,0)+IF(Blad4!X8="V. Bottas",12,0)+IF(Blad4!Z8="L. Hamilton",13,0)+IF(Blad4!Z8="V. Bottas",13,0)+IF(Blad4!AB8="L. Hamilton",14,0)+IF(Blad4!AB8="V. Bottas",14,0)+IF(Blad4!AD8="L. Hamilton",15,0)+IF(Blad4!AD8="V. Bottas",15,0)+IF(Blad4!AF8="L. Hamilton",16,0)+IF(Blad4!AF8="V. Bottas",16,0)+IF(Blad4!AH8="L. Hamilton",17,0)+IF(Blad4!AH8="V. Bottas",17,0)+IF(Blad4!AJ8="L. Hamilton",18,0)+IF(Blad4!AJ8="V. Bottas",18,0)+IF(Blad4!AL8="L. Hamilton",19,0)+IF(Blad4!AL8="V. Bottas",19,0)+IF(Blad4!AN8="L. Hamilton",20,0)+IF(Blad4!AN8="V. Bottas",20,0))/2</f>
        <v>4</v>
      </c>
      <c r="AI9" s="677">
        <f>(IF(Blad4!B9="L. Hamilton",1,0)+IF(Blad4!B9="V. Bottas",1,0)+IF(Blad4!D9="L. Hamilton",2,0)+IF(Blad4!D9="V. Bottas",2,0)+IF(Blad4!F9="L. Hamilton",3,0)+IF(Blad4!F9="V. Bottas",3,0)+IF(Blad4!H9="L. Hamilton",4,0)+IF(Blad4!H9="V. Bottas",4,0)+IF(Blad4!J9="L. Hamilton",5,0)+IF(Blad4!J9="V. Bottas",5,0)+IF(Blad4!L9="L. Hamilton",6,0)+IF(Blad4!L9="V. Bottas",6,0)+IF(Blad4!N9="L. Hamilton",7,0)+IF(Blad4!N9="V. Bottas",7,0)+IF(Blad4!P9="L. Hamilton",8,0)+IF(Blad4!P9="V. Bottas",8,0)+IF(Blad4!R9="L. Hamilton",9,0)+IF(Blad4!R9="V. Bottas",9,0)+IF(Blad4!T9="L. Hamilton",10,0)+IF(Blad4!T9="V. Bottas",10,0)+IF(Blad4!V9="L. Hamilton",11,0)+IF(Blad4!V9="V. Bottas",11,0)+IF(Blad4!X9="L. Hamilton",12,0)+IF(Blad4!X9="V. Bottas",12,0)+IF(Blad4!Z9="L. Hamilton",13,0)+IF(Blad4!Z9="V. Bottas",13,0)+IF(Blad4!AB9="L. Hamilton",14,0)+IF(Blad4!AB9="V. Bottas",14,0)+IF(Blad4!AD9="L. Hamilton",15,0)+IF(Blad4!AD9="V. Bottas",15,0)+IF(Blad4!AF9="L. Hamilton",16,0)+IF(Blad4!AF9="V. Bottas",16,0)+IF(Blad4!AH9="L. Hamilton",17,0)+IF(Blad4!AH9="V. Bottas",17,0)+IF(Blad4!AJ9="L. Hamilton",18,0)+IF(Blad4!AJ9="V. Bottas",18,0)+IF(Blad4!AL9="L. Hamilton",19,0)+IF(Blad4!AL9="V. Bottas",19,0)+IF(Blad4!AN9="L. Hamilton",20,0)+IF(Blad4!AN9="V. Bottas",20,0))/2</f>
        <v>1.5</v>
      </c>
      <c r="AJ9" s="677">
        <f>(IF(Blad4!B10="L. Hamilton",1,0)+IF(Blad4!B10="V. Bottas",1,0)+IF(Blad4!D10="L. Hamilton",2,0)+IF(Blad4!D10="V. Bottas",2,0)+IF(Blad4!F10="L. Hamilton",3,0)+IF(Blad4!F10="V. Bottas",3,0)+IF(Blad4!H10="L. Hamilton",4,0)+IF(Blad4!H10="V. Bottas",4,0)+IF(Blad4!J10="L. Hamilton",5,0)+IF(Blad4!J10="V. Bottas",5,0)+IF(Blad4!L10="L. Hamilton",6,0)+IF(Blad4!L10="V. Bottas",6,0)+IF(Blad4!N10="L. Hamilton",7,0)+IF(Blad4!N10="V. Bottas",7,0)+IF(Blad4!P10="L. Hamilton",8,0)+IF(Blad4!P10="V. Bottas",8,0)+IF(Blad4!R10="L. Hamilton",9,0)+IF(Blad4!R10="V. Bottas",9,0)+IF(Blad4!T10="L. Hamilton",10,0)+IF(Blad4!T10="V. Bottas",10,0)+IF(Blad4!V10="L. Hamilton",11,0)+IF(Blad4!V10="V. Bottas",11,0)+IF(Blad4!X10="L. Hamilton",12,0)+IF(Blad4!X10="V. Bottas",12,0)+IF(Blad4!Z10="L. Hamilton",13,0)+IF(Blad4!Z10="V. Bottas",13,0)+IF(Blad4!AB10="L. Hamilton",14,0)+IF(Blad4!AB10="V. Bottas",14,0)+IF(Blad4!AD10="L. Hamilton",15,0)+IF(Blad4!AD10="V. Bottas",15,0)+IF(Blad4!AF10="L. Hamilton",16,0)+IF(Blad4!AF10="V. Bottas",16,0)+IF(Blad4!AH10="L. Hamilton",17,0)+IF(Blad4!AH10="V. Bottas",17,0)+IF(Blad4!AJ10="L. Hamilton",18,0)+IF(Blad4!AJ10="V. Bottas",18,0)+IF(Blad4!AL10="L. Hamilton",19,0)+IF(Blad4!AL10="V. Bottas",19,0)+IF(Blad4!AN10="L. Hamilton",20,0)+IF(Blad4!AN10="V. Bottas",20,0))/2</f>
        <v>3.5</v>
      </c>
      <c r="AK9" s="677">
        <f>(IF(Blad4!B11="L. Hamilton",1,0)+IF(Blad4!B11="V. Bottas",1,0)+IF(Blad4!D11="L. Hamilton",2,0)+IF(Blad4!D11="V. Bottas",2,0)+IF(Blad4!F11="L. Hamilton",3,0)+IF(Blad4!F11="V. Bottas",3,0)+IF(Blad4!H11="L. Hamilton",4,0)+IF(Blad4!H11="V. Bottas",4,0)+IF(Blad4!J11="L. Hamilton",5,0)+IF(Blad4!J11="V. Bottas",5,0)+IF(Blad4!L11="L. Hamilton",6,0)+IF(Blad4!L11="V. Bottas",6,0)+IF(Blad4!N11="L. Hamilton",7,0)+IF(Blad4!N11="V. Bottas",7,0)+IF(Blad4!P11="L. Hamilton",8,0)+IF(Blad4!P11="V. Bottas",8,0)+IF(Blad4!R11="L. Hamilton",9,0)+IF(Blad4!R11="V. Bottas",9,0)+IF(Blad4!T11="L. Hamilton",10,0)+IF(Blad4!T11="V. Bottas",10,0)+IF(Blad4!V11="L. Hamilton",11,0)+IF(Blad4!V11="V. Bottas",11,0)+IF(Blad4!X11="L. Hamilton",12,0)+IF(Blad4!X11="V. Bottas",12,0)+IF(Blad4!Z11="L. Hamilton",13,0)+IF(Blad4!Z11="V. Bottas",13,0)+IF(Blad4!AB11="L. Hamilton",14,0)+IF(Blad4!AB11="V. Bottas",14,0)+IF(Blad4!AD11="L. Hamilton",15,0)+IF(Blad4!AD11="V. Bottas",15,0)+IF(Blad4!AF11="L. Hamilton",16,0)+IF(Blad4!AF11="V. Bottas",16,0)+IF(Blad4!AH11="L. Hamilton",17,0)+IF(Blad4!AH11="V. Bottas",17,0)+IF(Blad4!AJ11="L. Hamilton",18,0)+IF(Blad4!AJ11="V. Bottas",18,0)+IF(Blad4!AL11="L. Hamilton",19,0)+IF(Blad4!AL11="V. Bottas",19,0)+IF(Blad4!AN11="L. Hamilton",20,0)+IF(Blad4!AN11="V. Bottas",20,0))/2</f>
        <v>1.5</v>
      </c>
      <c r="AL9" s="677">
        <f>(IF(Blad4!B12="L. Hamilton",1,0)+IF(Blad4!B12="V. Bottas",1,0)+IF(Blad4!D12="L. Hamilton",2,0)+IF(Blad4!D12="V. Bottas",2,0)+IF(Blad4!F12="L. Hamilton",3,0)+IF(Blad4!F12="V. Bottas",3,0)+IF(Blad4!H12="L. Hamilton",4,0)+IF(Blad4!H12="V. Bottas",4,0)+IF(Blad4!J12="L. Hamilton",5,0)+IF(Blad4!J12="V. Bottas",5,0)+IF(Blad4!L12="L. Hamilton",6,0)+IF(Blad4!L12="V. Bottas",6,0)+IF(Blad4!N12="L. Hamilton",7,0)+IF(Blad4!N12="V. Bottas",7,0)+IF(Blad4!P12="L. Hamilton",8,0)+IF(Blad4!P12="V. Bottas",8,0)+IF(Blad4!R12="L. Hamilton",9,0)+IF(Blad4!R12="V. Bottas",9,0)+IF(Blad4!T12="L. Hamilton",10,0)+IF(Blad4!T12="V. Bottas",10,0)+IF(Blad4!V12="L. Hamilton",11,0)+IF(Blad4!V12="V. Bottas",11,0)+IF(Blad4!X12="L. Hamilton",12,0)+IF(Blad4!X12="V. Bottas",12,0)+IF(Blad4!Z12="L. Hamilton",13,0)+IF(Blad4!Z12="V. Bottas",13,0)+IF(Blad4!AB12="L. Hamilton",14,0)+IF(Blad4!AB12="V. Bottas",14,0)+IF(Blad4!AD12="L. Hamilton",15,0)+IF(Blad4!AD12="V. Bottas",15,0)+IF(Blad4!AF12="L. Hamilton",16,0)+IF(Blad4!AF12="V. Bottas",16,0)+IF(Blad4!AH12="L. Hamilton",17,0)+IF(Blad4!AH12="V. Bottas",17,0)+IF(Blad4!AJ12="L. Hamilton",18,0)+IF(Blad4!AJ12="V. Bottas",18,0)+IF(Blad4!AL12="L. Hamilton",19,0)+IF(Blad4!AL12="V. Bottas",19,0)+IF(Blad4!AN12="L. Hamilton",20,0)+IF(Blad4!AN12="V. Bottas",20,0))/2</f>
        <v>2</v>
      </c>
      <c r="AM9" s="677">
        <f>(IF(Blad4!B13="L. Hamilton",1,0)+IF(Blad4!B13="V. Bottas",1,0)+IF(Blad4!D13="L. Hamilton",2,0)+IF(Blad4!D13="V. Bottas",2,0)+IF(Blad4!F13="L. Hamilton",3,0)+IF(Blad4!F13="V. Bottas",3,0)+IF(Blad4!H13="L. Hamilton",4,0)+IF(Blad4!H13="V. Bottas",4,0)+IF(Blad4!J13="L. Hamilton",5,0)+IF(Blad4!J13="V. Bottas",5,0)+IF(Blad4!L13="L. Hamilton",6,0)+IF(Blad4!L13="V. Bottas",6,0)+IF(Blad4!N13="L. Hamilton",7,0)+IF(Blad4!N13="V. Bottas",7,0)+IF(Blad4!P13="L. Hamilton",8,0)+IF(Blad4!P13="V. Bottas",8,0)+IF(Blad4!R13="L. Hamilton",9,0)+IF(Blad4!R13="V. Bottas",9,0)+IF(Blad4!T13="L. Hamilton",10,0)+IF(Blad4!T13="V. Bottas",10,0)+IF(Blad4!V13="L. Hamilton",11,0)+IF(Blad4!V13="V. Bottas",11,0)+IF(Blad4!X13="L. Hamilton",12,0)+IF(Blad4!X13="V. Bottas",12,0)+IF(Blad4!Z13="L. Hamilton",13,0)+IF(Blad4!Z13="V. Bottas",13,0)+IF(Blad4!AB13="L. Hamilton",14,0)+IF(Blad4!AB13="V. Bottas",14,0)+IF(Blad4!AD13="L. Hamilton",15,0)+IF(Blad4!AD13="V. Bottas",15,0)+IF(Blad4!AF13="L. Hamilton",16,0)+IF(Blad4!AF13="V. Bottas",16,0)+IF(Blad4!AH13="L. Hamilton",17,0)+IF(Blad4!AH13="V. Bottas",17,0)+IF(Blad4!AJ13="L. Hamilton",18,0)+IF(Blad4!AJ13="V. Bottas",18,0)+IF(Blad4!AL13="L. Hamilton",19,0)+IF(Blad4!AL13="V. Bottas",19,0)+IF(Blad4!AN13="L. Hamilton",20,0)+IF(Blad4!AN13="V. Bottas",20,0))/2</f>
        <v>2.5</v>
      </c>
      <c r="AN9" s="677">
        <f>(IF(Blad4!B14="L. Hamilton",1,0)+IF(Blad4!B14="V. Bottas",1,0)+IF(Blad4!D14="L. Hamilton",2,0)+IF(Blad4!D14="V. Bottas",2,0)+IF(Blad4!F14="L. Hamilton",3,0)+IF(Blad4!F14="V. Bottas",3,0)+IF(Blad4!H14="L. Hamilton",4,0)+IF(Blad4!H14="V. Bottas",4,0)+IF(Blad4!J14="L. Hamilton",5,0)+IF(Blad4!J14="V. Bottas",5,0)+IF(Blad4!L14="L. Hamilton",6,0)+IF(Blad4!L14="V. Bottas",6,0)+IF(Blad4!N14="L. Hamilton",7,0)+IF(Blad4!N14="V. Bottas",7,0)+IF(Blad4!P14="L. Hamilton",8,0)+IF(Blad4!P14="V. Bottas",8,0)+IF(Blad4!R14="L. Hamilton",9,0)+IF(Blad4!R14="V. Bottas",9,0)+IF(Blad4!T14="L. Hamilton",10,0)+IF(Blad4!T14="V. Bottas",10,0)+IF(Blad4!V14="L. Hamilton",11,0)+IF(Blad4!V14="V. Bottas",11,0)+IF(Blad4!X14="L. Hamilton",12,0)+IF(Blad4!X14="V. Bottas",12,0)+IF(Blad4!Z14="L. Hamilton",13,0)+IF(Blad4!Z14="V. Bottas",13,0)+IF(Blad4!AB14="L. Hamilton",14,0)+IF(Blad4!AB14="V. Bottas",14,0)+IF(Blad4!AD14="L. Hamilton",15,0)+IF(Blad4!AD14="V. Bottas",15,0)+IF(Blad4!AF14="L. Hamilton",16,0)+IF(Blad4!AF14="V. Bottas",16,0)+IF(Blad4!AH14="L. Hamilton",17,0)+IF(Blad4!AH14="V. Bottas",17,0)+IF(Blad4!AJ14="L. Hamilton",18,0)+IF(Blad4!AJ14="V. Bottas",18,0)+IF(Blad4!AL14="L. Hamilton",19,0)+IF(Blad4!AL14="V. Bottas",19,0)+IF(Blad4!AN14="L. Hamilton",20,0)+IF(Blad4!AN14="V. Bottas",20,0))/2</f>
        <v>3.5</v>
      </c>
      <c r="AO9" s="677">
        <f>(IF(Blad4!B15="L. Hamilton",1,0)+IF(Blad4!B15="V. Bottas",1,0)+IF(Blad4!D15="L. Hamilton",2,0)+IF(Blad4!D15="V. Bottas",2,0)+IF(Blad4!F15="L. Hamilton",3,0)+IF(Blad4!F15="V. Bottas",3,0)+IF(Blad4!H15="L. Hamilton",4,0)+IF(Blad4!H15="V. Bottas",4,0)+IF(Blad4!J15="L. Hamilton",5,0)+IF(Blad4!J15="V. Bottas",5,0)+IF(Blad4!L15="L. Hamilton",6,0)+IF(Blad4!L15="V. Bottas",6,0)+IF(Blad4!N15="L. Hamilton",7,0)+IF(Blad4!N15="V. Bottas",7,0)+IF(Blad4!P15="L. Hamilton",8,0)+IF(Blad4!P15="V. Bottas",8,0)+IF(Blad4!R15="L. Hamilton",9,0)+IF(Blad4!R15="V. Bottas",9,0)+IF(Blad4!T15="L. Hamilton",10,0)+IF(Blad4!T15="V. Bottas",10,0)+IF(Blad4!V15="L. Hamilton",11,0)+IF(Blad4!V15="V. Bottas",11,0)+IF(Blad4!X15="L. Hamilton",12,0)+IF(Blad4!X15="V. Bottas",12,0)+IF(Blad4!Z15="L. Hamilton",13,0)+IF(Blad4!Z15="V. Bottas",13,0)+IF(Blad4!AB15="L. Hamilton",14,0)+IF(Blad4!AB15="V. Bottas",14,0)+IF(Blad4!AD15="L. Hamilton",15,0)+IF(Blad4!AD15="V. Bottas",15,0)+IF(Blad4!AF15="L. Hamilton",16,0)+IF(Blad4!AF15="V. Bottas",16,0)+IF(Blad4!AH15="L. Hamilton",17,0)+IF(Blad4!AH15="V. Bottas",17,0)+IF(Blad4!AJ15="L. Hamilton",18,0)+IF(Blad4!AJ15="V. Bottas",18,0)+IF(Blad4!AL15="L. Hamilton",19,0)+IF(Blad4!AL15="V. Bottas",19,0)+IF(Blad4!AN15="L. Hamilton",20,0)+IF(Blad4!AN15="V. Bottas",20,0))/2</f>
        <v>2.5</v>
      </c>
      <c r="AP9" s="677"/>
      <c r="AQ9" s="677"/>
      <c r="AR9" s="677"/>
      <c r="AS9" s="677"/>
      <c r="AT9" s="677"/>
      <c r="AU9" s="677"/>
      <c r="AV9" s="678"/>
    </row>
    <row r="10" spans="3:48" x14ac:dyDescent="0.2">
      <c r="AA10" s="669" t="s">
        <v>64</v>
      </c>
      <c r="AB10" s="679">
        <f>(IF(Blad4!B2="S. Vettel",1,0)+IF(Blad4!B2="C. Leclerc",1,0)+IF(Blad4!D2="S. Vettel",2,0)+IF(Blad4!D2="C. Leclerc",2,0)+IF(Blad4!F2="S. Vettel",3,0)+IF(Blad4!F2="C. Leclerc",3,0)+IF(Blad4!H2="S. Vettel",4,0)+IF(Blad4!H2="C. Leclerc",4,0)+IF(Blad4!J2="S. Vettel",5,0)+IF(Blad4!J2="C. Leclerc",5,0)+IF(Blad4!L2="S. Vettel",6,0)+IF(Blad4!L2="C. Leclerc",6,0)+IF(Blad4!N2="S. Vettel",7,0)+IF(Blad4!N2="C. Leclerc",7,0)+IF(Blad4!P2="S. Vettel",8,0)+IF(Blad4!P2="C. Leclerc",8,0)+IF(Blad4!R2="S. Vettel",9,0)+IF(Blad4!R2="C. Leclerc",9,0)+IF(Blad4!T2="S. Vettel",10,0)+IF(Blad4!T2="C. Leclerc",10,0)+IF(Blad4!V2="S. Vettel",11,0)+IF(Blad4!V2="C. Leclerc",11,0)+IF(Blad4!X2="S. Vettel",12,0)+IF(Blad4!X2="C. Leclerc",12,0)+IF(Blad4!Z2="S. Vettel",13,0)+IF(Blad4!Z2="C. Leclerc",13,0)+IF(Blad4!AB2="S. Vettel",14,0)+IF(Blad4!AB2="C. Leclerc",14,0)+IF(Blad4!AD2="S. Vettel",15,0)+IF(Blad4!AD2="C. Leclerc",15,0)+IF(Blad4!AF2="S. Vettel",16,0)+IF(Blad4!AF2="C. Leclerc",16,0)+IF(Blad4!AH2="S. Vettel",17,0)+IF(Blad4!AH2="C. Leclerc",17,0)+IF(Blad4!AJ2="S. Vettel",18,0)+IF(Blad4!AJ2="C. Leclerc",18,0)+IF(Blad4!AL2="S. Vettel",19,0)+IF(Blad4!AL2="C. Leclerc",19,0)+IF(Blad4!AN2="S. Vettel",20,0)+IF(Blad4!AN2="C. Leclerc",20,0))/2</f>
        <v>4</v>
      </c>
      <c r="AC10" s="680">
        <f>(IF(Blad4!B3="S. Vettel",1,0)+IF(Blad4!B3="C. Leclerc",1,0)+IF(Blad4!D3="S. Vettel",2,0)+IF(Blad4!D3="C. Leclerc",2,0)+IF(Blad4!F3="S. Vettel",3,0)+IF(Blad4!F3="C. Leclerc",3,0)+IF(Blad4!H3="S. Vettel",4,0)+IF(Blad4!H3="C. Leclerc",4,0)+IF(Blad4!J3="S. Vettel",5,0)+IF(Blad4!J3="C. Leclerc",5,0)+IF(Blad4!L3="S. Vettel",6,0)+IF(Blad4!L3="C. Leclerc",6,0)+IF(Blad4!N3="S. Vettel",7,0)+IF(Blad4!N3="C. Leclerc",7,0)+IF(Blad4!P3="S. Vettel",8,0)+IF(Blad4!P3="C. Leclerc",8,0)+IF(Blad4!R3="S. Vettel",9,0)+IF(Blad4!R3="C. Leclerc",9,0)+IF(Blad4!T3="S. Vettel",10,0)+IF(Blad4!T3="C. Leclerc",10,0)+IF(Blad4!V3="S. Vettel",11,0)+IF(Blad4!V3="C. Leclerc",11,0)+IF(Blad4!X3="S. Vettel",12,0)+IF(Blad4!X3="C. Leclerc",12,0)+IF(Blad4!Z3="S. Vettel",13,0)+IF(Blad4!Z3="C. Leclerc",13,0)+IF(Blad4!AB3="S. Vettel",14,0)+IF(Blad4!AB3="C. Leclerc",14,0)+IF(Blad4!AD3="S. Vettel",15,0)+IF(Blad4!AD3="C. Leclerc",15,0)+IF(Blad4!AF3="S. Vettel",16,0)+IF(Blad4!AF3="C. Leclerc",16,0)+IF(Blad4!AH3="S. Vettel",17,0)+IF(Blad4!AH3="C. Leclerc",17,0)+IF(Blad4!AJ3="S. Vettel",18,0)+IF(Blad4!AJ3="C. Leclerc",18,0)+IF(Blad4!AL3="S. Vettel",19,0)+IF(Blad4!AL3="C. Leclerc",19,0)+IF(Blad4!AN3="S. Vettel",20,0)+IF(Blad4!AN3="C. Leclerc",20,0))/2</f>
        <v>1.5</v>
      </c>
      <c r="AD10" s="680">
        <f>(IF(Blad4!B4="S. Vettel",1,0)+IF(Blad4!B4="C. Leclerc",1,0)+IF(Blad4!D4="S. Vettel",2,0)+IF(Blad4!D4="C. Leclerc",2,0)+IF(Blad4!F4="S. Vettel",3,0)+IF(Blad4!F4="C. Leclerc",3,0)+IF(Blad4!H4="S. Vettel",4,0)+IF(Blad4!H4="C. Leclerc",4,0)+IF(Blad4!J4="S. Vettel",5,0)+IF(Blad4!J4="C. Leclerc",5,0)+IF(Blad4!L4="S. Vettel",6,0)+IF(Blad4!L4="C. Leclerc",6,0)+IF(Blad4!N4="S. Vettel",7,0)+IF(Blad4!N4="C. Leclerc",7,0)+IF(Blad4!P4="S. Vettel",8,0)+IF(Blad4!P4="C. Leclerc",8,0)+IF(Blad4!R4="S. Vettel",9,0)+IF(Blad4!R4="C. Leclerc",9,0)+IF(Blad4!T4="S. Vettel",10,0)+IF(Blad4!T4="C. Leclerc",10,0)+IF(Blad4!V4="S. Vettel",11,0)+IF(Blad4!V4="C. Leclerc",11,0)+IF(Blad4!X4="S. Vettel",12,0)+IF(Blad4!X4="C. Leclerc",12,0)+IF(Blad4!Z4="S. Vettel",13,0)+IF(Blad4!Z4="C. Leclerc",13,0)+IF(Blad4!AB4="S. Vettel",14,0)+IF(Blad4!AB4="C. Leclerc",14,0)+IF(Blad4!AD4="S. Vettel",15,0)+IF(Blad4!AD4="C. Leclerc",15,0)+IF(Blad4!AF4="S. Vettel",16,0)+IF(Blad4!AF4="C. Leclerc",16,0)+IF(Blad4!AH4="S. Vettel",17,0)+IF(Blad4!AH4="C. Leclerc",17,0)+IF(Blad4!AJ4="S. Vettel",18,0)+IF(Blad4!AJ4="C. Leclerc",18,0)+IF(Blad4!AL4="S. Vettel",19,0)+IF(Blad4!AL4="C. Leclerc",19,0)+IF(Blad4!AN4="S. Vettel",20,0)+IF(Blad4!AN4="C. Leclerc",20,0))/2</f>
        <v>3.5</v>
      </c>
      <c r="AE10" s="680">
        <f>(IF(Blad4!B5="S. Vettel",1,0)+IF(Blad4!B5="C. Leclerc",1,0)+IF(Blad4!D5="S. Vettel",2,0)+IF(Blad4!D5="C. Leclerc",2,0)+IF(Blad4!F5="S. Vettel",3,0)+IF(Blad4!F5="C. Leclerc",3,0)+IF(Blad4!H5="S. Vettel",4,0)+IF(Blad4!H5="C. Leclerc",4,0)+IF(Blad4!J5="S. Vettel",5,0)+IF(Blad4!J5="C. Leclerc",5,0)+IF(Blad4!L5="S. Vettel",6,0)+IF(Blad4!L5="C. Leclerc",6,0)+IF(Blad4!N5="S. Vettel",7,0)+IF(Blad4!N5="C. Leclerc",7,0)+IF(Blad4!P5="S. Vettel",8,0)+IF(Blad4!P5="C. Leclerc",8,0)+IF(Blad4!R5="S. Vettel",9,0)+IF(Blad4!R5="C. Leclerc",9,0)+IF(Blad4!T5="S. Vettel",10,0)+IF(Blad4!T5="C. Leclerc",10,0)+IF(Blad4!V5="S. Vettel",11,0)+IF(Blad4!V5="C. Leclerc",11,0)+IF(Blad4!X5="S. Vettel",12,0)+IF(Blad4!X5="C. Leclerc",12,0)+IF(Blad4!Z5="S. Vettel",13,0)+IF(Blad4!Z5="C. Leclerc",13,0)+IF(Blad4!AB5="S. Vettel",14,0)+IF(Blad4!AB5="C. Leclerc",14,0)+IF(Blad4!AD5="S. Vettel",15,0)+IF(Blad4!AD5="C. Leclerc",15,0)+IF(Blad4!AF5="S. Vettel",16,0)+IF(Blad4!AF5="C. Leclerc",16,0)+IF(Blad4!AH5="S. Vettel",17,0)+IF(Blad4!AH5="C. Leclerc",17,0)+IF(Blad4!AJ5="S. Vettel",18,0)+IF(Blad4!AJ5="C. Leclerc",18,0)+IF(Blad4!AL5="S. Vettel",19,0)+IF(Blad4!AL5="C. Leclerc",19,0)+IF(Blad4!AN5="S. Vettel",20,0)+IF(Blad4!AN5="C. Leclerc",20,0))/2</f>
        <v>5.5</v>
      </c>
      <c r="AF10" s="680">
        <f>(IF(Blad4!B6="S. Vettel",1,0)+IF(Blad4!B6="C. Leclerc",1,0)+IF(Blad4!D6="S. Vettel",2,0)+IF(Blad4!D6="C. Leclerc",2,0)+IF(Blad4!F6="S. Vettel",3,0)+IF(Blad4!F6="C. Leclerc",3,0)+IF(Blad4!H6="S. Vettel",4,0)+IF(Blad4!H6="C. Leclerc",4,0)+IF(Blad4!J6="S. Vettel",5,0)+IF(Blad4!J6="C. Leclerc",5,0)+IF(Blad4!L6="S. Vettel",6,0)+IF(Blad4!L6="C. Leclerc",6,0)+IF(Blad4!N6="S. Vettel",7,0)+IF(Blad4!N6="C. Leclerc",7,0)+IF(Blad4!P6="S. Vettel",8,0)+IF(Blad4!P6="C. Leclerc",8,0)+IF(Blad4!R6="S. Vettel",9,0)+IF(Blad4!R6="C. Leclerc",9,0)+IF(Blad4!T6="S. Vettel",10,0)+IF(Blad4!T6="C. Leclerc",10,0)+IF(Blad4!V6="S. Vettel",11,0)+IF(Blad4!V6="C. Leclerc",11,0)+IF(Blad4!X6="S. Vettel",12,0)+IF(Blad4!X6="C. Leclerc",12,0)+IF(Blad4!Z6="S. Vettel",13,0)+IF(Blad4!Z6="C. Leclerc",13,0)+IF(Blad4!AB6="S. Vettel",14,0)+IF(Blad4!AB6="C. Leclerc",14,0)+IF(Blad4!AD6="S. Vettel",15,0)+IF(Blad4!AD6="C. Leclerc",15,0)+IF(Blad4!AF6="S. Vettel",16,0)+IF(Blad4!AF6="C. Leclerc",16,0)+IF(Blad4!AH6="S. Vettel",17,0)+IF(Blad4!AH6="C. Leclerc",17,0)+IF(Blad4!AJ6="S. Vettel",18,0)+IF(Blad4!AJ6="C. Leclerc",18,0)+IF(Blad4!AL6="S. Vettel",19,0)+IF(Blad4!AL6="C. Leclerc",19,0)+IF(Blad4!AN6="S. Vettel",20,0)+IF(Blad4!AN6="C. Leclerc",20,0))/2</f>
        <v>4</v>
      </c>
      <c r="AG10" s="680">
        <f>(IF(Blad4!B7="S. Vettel",1,0)+IF(Blad4!B7="C. Leclerc",1,0)+IF(Blad4!D7="S. Vettel",2,0)+IF(Blad4!D7="C. Leclerc",2,0)+IF(Blad4!F7="S. Vettel",3,0)+IF(Blad4!F7="C. Leclerc",3,0)+IF(Blad4!H7="S. Vettel",4,0)+IF(Blad4!H7="C. Leclerc",4,0)+IF(Blad4!J7="S. Vettel",5,0)+IF(Blad4!J7="C. Leclerc",5,0)+IF(Blad4!L7="S. Vettel",6,0)+IF(Blad4!L7="C. Leclerc",6,0)+IF(Blad4!N7="S. Vettel",7,0)+IF(Blad4!N7="C. Leclerc",7,0)+IF(Blad4!P7="S. Vettel",8,0)+IF(Blad4!P7="C. Leclerc",8,0)+IF(Blad4!R7="S. Vettel",9,0)+IF(Blad4!R7="C. Leclerc",9,0)+IF(Blad4!T7="S. Vettel",10,0)+IF(Blad4!T7="C. Leclerc",10,0)+IF(Blad4!V7="S. Vettel",11,0)+IF(Blad4!V7="C. Leclerc",11,0)+IF(Blad4!X7="S. Vettel",12,0)+IF(Blad4!X7="C. Leclerc",12,0)+IF(Blad4!Z7="S. Vettel",13,0)+IF(Blad4!Z7="C. Leclerc",13,0)+IF(Blad4!AB7="S. Vettel",14,0)+IF(Blad4!AB7="C. Leclerc",14,0)+IF(Blad4!AD7="S. Vettel",15,0)+IF(Blad4!AD7="C. Leclerc",15,0)+IF(Blad4!AF7="S. Vettel",16,0)+IF(Blad4!AF7="C. Leclerc",16,0)+IF(Blad4!AH7="S. Vettel",17,0)+IF(Blad4!AH7="C. Leclerc",17,0)+IF(Blad4!AJ7="S. Vettel",18,0)+IF(Blad4!AJ7="C. Leclerc",18,0)+IF(Blad4!AL7="S. Vettel",19,0)+IF(Blad4!AL7="C. Leclerc",19,0)+IF(Blad4!AN7="S. Vettel",20,0)+IF(Blad4!AN7="C. Leclerc",20,0))/2</f>
        <v>9.5</v>
      </c>
      <c r="AH10" s="680">
        <f>(IF(Blad4!B8="S. Vettel",1,0)+IF(Blad4!B8="C. Leclerc",1,0)+IF(Blad4!D8="S. Vettel",2,0)+IF(Blad4!D8="C. Leclerc",2,0)+IF(Blad4!F8="S. Vettel",3,0)+IF(Blad4!F8="C. Leclerc",3,0)+IF(Blad4!H8="S. Vettel",4,0)+IF(Blad4!H8="C. Leclerc",4,0)+IF(Blad4!J8="S. Vettel",5,0)+IF(Blad4!J8="C. Leclerc",5,0)+IF(Blad4!L8="S. Vettel",6,0)+IF(Blad4!L8="C. Leclerc",6,0)+IF(Blad4!N8="S. Vettel",7,0)+IF(Blad4!N8="C. Leclerc",7,0)+IF(Blad4!P8="S. Vettel",8,0)+IF(Blad4!P8="C. Leclerc",8,0)+IF(Blad4!R8="S. Vettel",9,0)+IF(Blad4!R8="C. Leclerc",9,0)+IF(Blad4!T8="S. Vettel",10,0)+IF(Blad4!T8="C. Leclerc",10,0)+IF(Blad4!V8="S. Vettel",11,0)+IF(Blad4!V8="C. Leclerc",11,0)+IF(Blad4!X8="S. Vettel",12,0)+IF(Blad4!X8="C. Leclerc",12,0)+IF(Blad4!Z8="S. Vettel",13,0)+IF(Blad4!Z8="C. Leclerc",13,0)+IF(Blad4!AB8="S. Vettel",14,0)+IF(Blad4!AB8="C. Leclerc",14,0)+IF(Blad4!AD8="S. Vettel",15,0)+IF(Blad4!AD8="C. Leclerc",15,0)+IF(Blad4!AF8="S. Vettel",16,0)+IF(Blad4!AF8="C. Leclerc",16,0)+IF(Blad4!AH8="S. Vettel",17,0)+IF(Blad4!AH8="C. Leclerc",17,0)+IF(Blad4!AJ8="S. Vettel",18,0)+IF(Blad4!AJ8="C. Leclerc",18,0)+IF(Blad4!AL8="S. Vettel",19,0)+IF(Blad4!AL8="C. Leclerc",19,0)+IF(Blad4!AN8="S. Vettel",20,0)+IF(Blad4!AN8="C. Leclerc",20,0))/2</f>
        <v>2</v>
      </c>
      <c r="AI10" s="680">
        <f>(IF(Blad4!B9="S. Vettel",1,0)+IF(Blad4!B9="C. Leclerc",1,0)+IF(Blad4!D9="S. Vettel",2,0)+IF(Blad4!D9="C. Leclerc",2,0)+IF(Blad4!F9="S. Vettel",3,0)+IF(Blad4!F9="C. Leclerc",3,0)+IF(Blad4!H9="S. Vettel",4,0)+IF(Blad4!H9="C. Leclerc",4,0)+IF(Blad4!J9="S. Vettel",5,0)+IF(Blad4!J9="C. Leclerc",5,0)+IF(Blad4!L9="S. Vettel",6,0)+IF(Blad4!L9="C. Leclerc",6,0)+IF(Blad4!N9="S. Vettel",7,0)+IF(Blad4!N9="C. Leclerc",7,0)+IF(Blad4!P9="S. Vettel",8,0)+IF(Blad4!P9="C. Leclerc",8,0)+IF(Blad4!R9="S. Vettel",9,0)+IF(Blad4!R9="C. Leclerc",9,0)+IF(Blad4!T9="S. Vettel",10,0)+IF(Blad4!T9="C. Leclerc",10,0)+IF(Blad4!V9="S. Vettel",11,0)+IF(Blad4!V9="C. Leclerc",11,0)+IF(Blad4!X9="S. Vettel",12,0)+IF(Blad4!X9="C. Leclerc",12,0)+IF(Blad4!Z9="S. Vettel",13,0)+IF(Blad4!Z9="C. Leclerc",13,0)+IF(Blad4!AB9="S. Vettel",14,0)+IF(Blad4!AB9="C. Leclerc",14,0)+IF(Blad4!AD9="S. Vettel",15,0)+IF(Blad4!AD9="C. Leclerc",15,0)+IF(Blad4!AF9="S. Vettel",16,0)+IF(Blad4!AF9="C. Leclerc",16,0)+IF(Blad4!AH9="S. Vettel",17,0)+IF(Blad4!AH9="C. Leclerc",17,0)+IF(Blad4!AJ9="S. Vettel",18,0)+IF(Blad4!AJ9="C. Leclerc",18,0)+IF(Blad4!AL9="S. Vettel",19,0)+IF(Blad4!AL9="C. Leclerc",19,0)+IF(Blad4!AN9="S. Vettel",20,0)+IF(Blad4!AN9="C. Leclerc",20,0))/2</f>
        <v>5</v>
      </c>
      <c r="AJ10" s="680">
        <f>(IF(Blad4!B10="S. Vettel",1,0)+IF(Blad4!B10="C. Leclerc",1,0)+IF(Blad4!D10="S. Vettel",2,0)+IF(Blad4!D10="C. Leclerc",2,0)+IF(Blad4!F10="S. Vettel",3,0)+IF(Blad4!F10="C. Leclerc",3,0)+IF(Blad4!H10="S. Vettel",4,0)+IF(Blad4!H10="C. Leclerc",4,0)+IF(Blad4!J10="S. Vettel",5,0)+IF(Blad4!J10="C. Leclerc",5,0)+IF(Blad4!L10="S. Vettel",6,0)+IF(Blad4!L10="C. Leclerc",6,0)+IF(Blad4!N10="S. Vettel",7,0)+IF(Blad4!N10="C. Leclerc",7,0)+IF(Blad4!P10="S. Vettel",8,0)+IF(Blad4!P10="C. Leclerc",8,0)+IF(Blad4!R10="S. Vettel",9,0)+IF(Blad4!R10="C. Leclerc",9,0)+IF(Blad4!T10="S. Vettel",10,0)+IF(Blad4!T10="C. Leclerc",10,0)+IF(Blad4!V10="S. Vettel",11,0)+IF(Blad4!V10="C. Leclerc",11,0)+IF(Blad4!X10="S. Vettel",12,0)+IF(Blad4!X10="C. Leclerc",12,0)+IF(Blad4!Z10="S. Vettel",13,0)+IF(Blad4!Z10="C. Leclerc",13,0)+IF(Blad4!AB10="S. Vettel",14,0)+IF(Blad4!AB10="C. Leclerc",14,0)+IF(Blad4!AD10="S. Vettel",15,0)+IF(Blad4!AD10="C. Leclerc",15,0)+IF(Blad4!AF10="S. Vettel",16,0)+IF(Blad4!AF10="C. Leclerc",16,0)+IF(Blad4!AH10="S. Vettel",17,0)+IF(Blad4!AH10="C. Leclerc",17,0)+IF(Blad4!AJ10="S. Vettel",18,0)+IF(Blad4!AJ10="C. Leclerc",18,0)+IF(Blad4!AL10="S. Vettel",19,0)+IF(Blad4!AL10="C. Leclerc",19,0)+IF(Blad4!AN10="S. Vettel",20,0)+IF(Blad4!AN10="C. Leclerc",20,0))/2</f>
        <v>5</v>
      </c>
      <c r="AK10" s="680">
        <f>(IF(Blad4!B11="S. Vettel",1,0)+IF(Blad4!B11="C. Leclerc",1,0)+IF(Blad4!D11="S. Vettel",2,0)+IF(Blad4!D11="C. Leclerc",2,0)+IF(Blad4!F11="S. Vettel",3,0)+IF(Blad4!F11="C. Leclerc",3,0)+IF(Blad4!H11="S. Vettel",4,0)+IF(Blad4!H11="C. Leclerc",4,0)+IF(Blad4!J11="S. Vettel",5,0)+IF(Blad4!J11="C. Leclerc",5,0)+IF(Blad4!L11="S. Vettel",6,0)+IF(Blad4!L11="C. Leclerc",6,0)+IF(Blad4!N11="S. Vettel",7,0)+IF(Blad4!N11="C. Leclerc",7,0)+IF(Blad4!P11="S. Vettel",8,0)+IF(Blad4!P11="C. Leclerc",8,0)+IF(Blad4!R11="S. Vettel",9,0)+IF(Blad4!R11="C. Leclerc",9,0)+IF(Blad4!T11="S. Vettel",10,0)+IF(Blad4!T11="C. Leclerc",10,0)+IF(Blad4!V11="S. Vettel",11,0)+IF(Blad4!V11="C. Leclerc",11,0)+IF(Blad4!X11="S. Vettel",12,0)+IF(Blad4!X11="C. Leclerc",12,0)+IF(Blad4!Z11="S. Vettel",13,0)+IF(Blad4!Z11="C. Leclerc",13,0)+IF(Blad4!AB11="S. Vettel",14,0)+IF(Blad4!AB11="C. Leclerc",14,0)+IF(Blad4!AD11="S. Vettel",15,0)+IF(Blad4!AD11="C. Leclerc",15,0)+IF(Blad4!AF11="S. Vettel",16,0)+IF(Blad4!AF11="C. Leclerc",16,0)+IF(Blad4!AH11="S. Vettel",17,0)+IF(Blad4!AH11="C. Leclerc",17,0)+IF(Blad4!AJ11="S. Vettel",18,0)+IF(Blad4!AJ11="C. Leclerc",18,0)+IF(Blad4!AL11="S. Vettel",19,0)+IF(Blad4!AL11="C. Leclerc",19,0)+IF(Blad4!AN11="S. Vettel",20,0)+IF(Blad4!AN11="C. Leclerc",20,0))/2</f>
        <v>4.5</v>
      </c>
      <c r="AL10" s="680">
        <f>(IF(Blad4!B12="S. Vettel",1,0)+IF(Blad4!B12="C. Leclerc",1,0)+IF(Blad4!D12="S. Vettel",2,0)+IF(Blad4!D12="C. Leclerc",2,0)+IF(Blad4!F12="S. Vettel",3,0)+IF(Blad4!F12="C. Leclerc",3,0)+IF(Blad4!H12="S. Vettel",4,0)+IF(Blad4!H12="C. Leclerc",4,0)+IF(Blad4!J12="S. Vettel",5,0)+IF(Blad4!J12="C. Leclerc",5,0)+IF(Blad4!L12="S. Vettel",6,0)+IF(Blad4!L12="C. Leclerc",6,0)+IF(Blad4!N12="S. Vettel",7,0)+IF(Blad4!N12="C. Leclerc",7,0)+IF(Blad4!P12="S. Vettel",8,0)+IF(Blad4!P12="C. Leclerc",8,0)+IF(Blad4!R12="S. Vettel",9,0)+IF(Blad4!R12="C. Leclerc",9,0)+IF(Blad4!T12="S. Vettel",10,0)+IF(Blad4!T12="C. Leclerc",10,0)+IF(Blad4!V12="S. Vettel",11,0)+IF(Blad4!V12="C. Leclerc",11,0)+IF(Blad4!X12="S. Vettel",12,0)+IF(Blad4!X12="C. Leclerc",12,0)+IF(Blad4!Z12="S. Vettel",13,0)+IF(Blad4!Z12="C. Leclerc",13,0)+IF(Blad4!AB12="S. Vettel",14,0)+IF(Blad4!AB12="C. Leclerc",14,0)+IF(Blad4!AD12="S. Vettel",15,0)+IF(Blad4!AD12="C. Leclerc",15,0)+IF(Blad4!AF12="S. Vettel",16,0)+IF(Blad4!AF12="C. Leclerc",16,0)+IF(Blad4!AH12="S. Vettel",17,0)+IF(Blad4!AH12="C. Leclerc",17,0)+IF(Blad4!AJ12="S. Vettel",18,0)+IF(Blad4!AJ12="C. Leclerc",18,0)+IF(Blad4!AL12="S. Vettel",19,0)+IF(Blad4!AL12="C. Leclerc",19,0)+IF(Blad4!AN12="S. Vettel",20,0)+IF(Blad4!AN12="C. Leclerc",20,0))/2</f>
        <v>15</v>
      </c>
      <c r="AM10" s="680">
        <f>(IF(Blad4!B13="S. Vettel",1,0)+IF(Blad4!B13="C. Leclerc",1,0)+IF(Blad4!D13="S. Vettel",2,0)+IF(Blad4!D13="C. Leclerc",2,0)+IF(Blad4!F13="S. Vettel",3,0)+IF(Blad4!F13="C. Leclerc",3,0)+IF(Blad4!H13="S. Vettel",4,0)+IF(Blad4!H13="C. Leclerc",4,0)+IF(Blad4!J13="S. Vettel",5,0)+IF(Blad4!J13="C. Leclerc",5,0)+IF(Blad4!L13="S. Vettel",6,0)+IF(Blad4!L13="C. Leclerc",6,0)+IF(Blad4!N13="S. Vettel",7,0)+IF(Blad4!N13="C. Leclerc",7,0)+IF(Blad4!P13="S. Vettel",8,0)+IF(Blad4!P13="C. Leclerc",8,0)+IF(Blad4!R13="S. Vettel",9,0)+IF(Blad4!R13="C. Leclerc",9,0)+IF(Blad4!T13="S. Vettel",10,0)+IF(Blad4!T13="C. Leclerc",10,0)+IF(Blad4!V13="S. Vettel",11,0)+IF(Blad4!V13="C. Leclerc",11,0)+IF(Blad4!X13="S. Vettel",12,0)+IF(Blad4!X13="C. Leclerc",12,0)+IF(Blad4!Z13="S. Vettel",13,0)+IF(Blad4!Z13="C. Leclerc",13,0)+IF(Blad4!AB13="S. Vettel",14,0)+IF(Blad4!AB13="C. Leclerc",14,0)+IF(Blad4!AD13="S. Vettel",15,0)+IF(Blad4!AD13="C. Leclerc",15,0)+IF(Blad4!AF13="S. Vettel",16,0)+IF(Blad4!AF13="C. Leclerc",16,0)+IF(Blad4!AH13="S. Vettel",17,0)+IF(Blad4!AH13="C. Leclerc",17,0)+IF(Blad4!AJ13="S. Vettel",18,0)+IF(Blad4!AJ13="C. Leclerc",18,0)+IF(Blad4!AL13="S. Vettel",19,0)+IF(Blad4!AL13="C. Leclerc",19,0)+IF(Blad4!AN13="S. Vettel",20,0)+IF(Blad4!AN13="C. Leclerc",20,0))/2</f>
        <v>4.5</v>
      </c>
      <c r="AN10" s="680">
        <f>(IF(Blad4!B14="S. Vettel",1,0)+IF(Blad4!B14="C. Leclerc",1,0)+IF(Blad4!D14="S. Vettel",2,0)+IF(Blad4!D14="C. Leclerc",2,0)+IF(Blad4!F14="S. Vettel",3,0)+IF(Blad4!F14="C. Leclerc",3,0)+IF(Blad4!H14="S. Vettel",4,0)+IF(Blad4!H14="C. Leclerc",4,0)+IF(Blad4!J14="S. Vettel",5,0)+IF(Blad4!J14="C. Leclerc",5,0)+IF(Blad4!L14="S. Vettel",6,0)+IF(Blad4!L14="C. Leclerc",6,0)+IF(Blad4!N14="S. Vettel",7,0)+IF(Blad4!N14="C. Leclerc",7,0)+IF(Blad4!P14="S. Vettel",8,0)+IF(Blad4!P14="C. Leclerc",8,0)+IF(Blad4!R14="S. Vettel",9,0)+IF(Blad4!R14="C. Leclerc",9,0)+IF(Blad4!T14="S. Vettel",10,0)+IF(Blad4!T14="C. Leclerc",10,0)+IF(Blad4!V14="S. Vettel",11,0)+IF(Blad4!V14="C. Leclerc",11,0)+IF(Blad4!X14="S. Vettel",12,0)+IF(Blad4!X14="C. Leclerc",12,0)+IF(Blad4!Z14="S. Vettel",13,0)+IF(Blad4!Z14="C. Leclerc",13,0)+IF(Blad4!AB14="S. Vettel",14,0)+IF(Blad4!AB14="C. Leclerc",14,0)+IF(Blad4!AD14="S. Vettel",15,0)+IF(Blad4!AD14="C. Leclerc",15,0)+IF(Blad4!AF14="S. Vettel",16,0)+IF(Blad4!AF14="C. Leclerc",16,0)+IF(Blad4!AH14="S. Vettel",17,0)+IF(Blad4!AH14="C. Leclerc",17,0)+IF(Blad4!AJ14="S. Vettel",18,0)+IF(Blad4!AJ14="C. Leclerc",18,0)+IF(Blad4!AL14="S. Vettel",19,0)+IF(Blad4!AL14="C. Leclerc",19,0)+IF(Blad4!AN14="S. Vettel",20,0)+IF(Blad4!AN14="C. Leclerc",20,0))/2</f>
        <v>1.5</v>
      </c>
      <c r="AO10" s="680">
        <f>(IF(Blad4!B15="S. Vettel",1,0)+IF(Blad4!B15="C. Leclerc",1,0)+IF(Blad4!D15="S. Vettel",2,0)+IF(Blad4!D15="C. Leclerc",2,0)+IF(Blad4!F15="S. Vettel",3,0)+IF(Blad4!F15="C. Leclerc",3,0)+IF(Blad4!H15="S. Vettel",4,0)+IF(Blad4!H15="C. Leclerc",4,0)+IF(Blad4!J15="S. Vettel",5,0)+IF(Blad4!J15="C. Leclerc",5,0)+IF(Blad4!L15="S. Vettel",6,0)+IF(Blad4!L15="C. Leclerc",6,0)+IF(Blad4!N15="S. Vettel",7,0)+IF(Blad4!N15="C. Leclerc",7,0)+IF(Blad4!P15="S. Vettel",8,0)+IF(Blad4!P15="C. Leclerc",8,0)+IF(Blad4!R15="S. Vettel",9,0)+IF(Blad4!R15="C. Leclerc",9,0)+IF(Blad4!T15="S. Vettel",10,0)+IF(Blad4!T15="C. Leclerc",10,0)+IF(Blad4!V15="S. Vettel",11,0)+IF(Blad4!V15="C. Leclerc",11,0)+IF(Blad4!X15="S. Vettel",12,0)+IF(Blad4!X15="C. Leclerc",12,0)+IF(Blad4!Z15="S. Vettel",13,0)+IF(Blad4!Z15="C. Leclerc",13,0)+IF(Blad4!AB15="S. Vettel",14,0)+IF(Blad4!AB15="C. Leclerc",14,0)+IF(Blad4!AD15="S. Vettel",15,0)+IF(Blad4!AD15="C. Leclerc",15,0)+IF(Blad4!AF15="S. Vettel",16,0)+IF(Blad4!AF15="C. Leclerc",16,0)+IF(Blad4!AH15="S. Vettel",17,0)+IF(Blad4!AH15="C. Leclerc",17,0)+IF(Blad4!AJ15="S. Vettel",18,0)+IF(Blad4!AJ15="C. Leclerc",18,0)+IF(Blad4!AL15="S. Vettel",19,0)+IF(Blad4!AL15="C. Leclerc",19,0)+IF(Blad4!AN15="S. Vettel",20,0)+IF(Blad4!AN15="C. Leclerc",20,0))/2</f>
        <v>2.5</v>
      </c>
      <c r="AP10" s="680"/>
      <c r="AQ10" s="680"/>
      <c r="AR10" s="680"/>
      <c r="AS10" s="680"/>
      <c r="AT10" s="680"/>
      <c r="AU10" s="680"/>
      <c r="AV10" s="681"/>
    </row>
    <row r="11" spans="3:48" x14ac:dyDescent="0.2">
      <c r="AA11" s="669" t="s">
        <v>401</v>
      </c>
      <c r="AB11" s="679">
        <f>(IF(Blad4!B2="M. Verstappen",1,0)+IF(Blad4!B2="P. Gasly",1,0)+IF(Blad4!D2="M. Verstappen",2,0)+IF(Blad4!D2="P. Gasly",2,0)+IF(Blad4!F2="M. Verstappen",3,0)+IF(Blad4!F2="P. Gasly",3,0)+IF(Blad4!H2="M. Verstappen",4,0)+IF(Blad4!H2="P. Gasly",4,0)+IF(Blad4!J2="M. Verstappen",5,0)+IF(Blad4!J2="P. Gasly",5,0)+IF(Blad4!L2="M. Verstappen",6,0)+IF(Blad4!L2="P. Gasly",6,0)+IF(Blad4!N2="M. Verstappen",7,0)+IF(Blad4!N2="P. Gasly",7,0)+IF(Blad4!P2="M. Verstappen",8,0)+IF(Blad4!P2="P. Gasly",8,0)+IF(Blad4!R2="M. Verstappen",9,0)+IF(Blad4!R2="P. Gasly",9,0)+IF(Blad4!T2="M. Verstappen",10,0)+IF(Blad4!T2="P. Gasly",10,0)+IF(Blad4!V2="M. Verstappen",11,0)+IF(Blad4!V2="P. Gasly",11,0)+IF(Blad4!X2="M. Verstappen",12,0)+IF(Blad4!X2="P. Gasly",12,0)+IF(Blad4!Z2="M. Verstappen",13,0)+IF(Blad4!Z2="P. Gasly",13,0)+IF(Blad4!AB2="M. Verstappen",14,0)+IF(Blad4!AB2="P. Gasly",14,0)+IF(Blad4!AD2="M. Verstappen",15,0)+IF(Blad4!AD2="P. Gasly",15,0)+IF(Blad4!AF2="M. Verstappen",16,0)+IF(Blad4!AF2="P. Gasly",16,0)+IF(Blad4!AH2="M. Verstappen",17,0)+IF(Blad4!AH2="P. Gasly",17,0)+IF(Blad4!AJ2="M. Verstappen",18,0)+IF(Blad4!AJ2="P. Gasly",18,0)+IF(Blad4!AL2="M. Verstappen",19,0)+IF(Blad4!AL2="P. Gasly",19,0)+IF(Blad4!AN2="M. Verstappen",20,0)+IF(Blad4!AN2="P. Gasly",20,0))/2</f>
        <v>10.5</v>
      </c>
      <c r="AC11" s="680">
        <f>(IF(Blad4!B3="M. Verstappen",1,0)+IF(Blad4!B3="P. Gasly",1,0)+IF(Blad4!D3="M. Verstappen",2,0)+IF(Blad4!D3="P. Gasly",2,0)+IF(Blad4!F3="M. Verstappen",3,0)+IF(Blad4!F3="P. Gasly",3,0)+IF(Blad4!H3="M. Verstappen",4,0)+IF(Blad4!H3="P. Gasly",4,0)+IF(Blad4!J3="M. Verstappen",5,0)+IF(Blad4!J3="P. Gasly",5,0)+IF(Blad4!L3="M. Verstappen",6,0)+IF(Blad4!L3="P. Gasly",6,0)+IF(Blad4!N3="M. Verstappen",7,0)+IF(Blad4!N3="P. Gasly",7,0)+IF(Blad4!P3="M. Verstappen",8,0)+IF(Blad4!P3="P. Gasly",8,0)+IF(Blad4!R3="M. Verstappen",9,0)+IF(Blad4!R3="P. Gasly",9,0)+IF(Blad4!T3="M. Verstappen",10,0)+IF(Blad4!T3="P. Gasly",10,0)+IF(Blad4!V3="M. Verstappen",11,0)+IF(Blad4!V3="P. Gasly",11,0)+IF(Blad4!X3="M. Verstappen",12,0)+IF(Blad4!X3="P. Gasly",12,0)+IF(Blad4!Z3="M. Verstappen",13,0)+IF(Blad4!Z3="P. Gasly",13,0)+IF(Blad4!AB3="M. Verstappen",14,0)+IF(Blad4!AB3="P. Gasly",14,0)+IF(Blad4!AD3="M. Verstappen",15,0)+IF(Blad4!AD3="P. Gasly",15,0)+IF(Blad4!AF3="M. Verstappen",16,0)+IF(Blad4!AF3="P. Gasly",16,0)+IF(Blad4!AH3="M. Verstappen",17,0)+IF(Blad4!AH3="P. Gasly",17,0)+IF(Blad4!AJ3="M. Verstappen",18,0)+IF(Blad4!AJ3="P. Gasly",18,0)+IF(Blad4!AL3="M. Verstappen",19,0)+IF(Blad4!AL3="P. Gasly",19,0)+IF(Blad4!AN3="M. Verstappen",20,0)+IF(Blad4!AN3="P. Gasly",20,0))/2</f>
        <v>9</v>
      </c>
      <c r="AD11" s="680">
        <f>(IF(Blad4!B4="M. Verstappen",1,0)+IF(Blad4!B4="P. Gasly",1,0)+IF(Blad4!D4="M. Verstappen",2,0)+IF(Blad4!D4="P. Gasly",2,0)+IF(Blad4!F4="M. Verstappen",3,0)+IF(Blad4!F4="P. Gasly",3,0)+IF(Blad4!H4="M. Verstappen",4,0)+IF(Blad4!H4="P. Gasly",4,0)+IF(Blad4!J4="M. Verstappen",5,0)+IF(Blad4!J4="P. Gasly",5,0)+IF(Blad4!L4="M. Verstappen",6,0)+IF(Blad4!L4="P. Gasly",6,0)+IF(Blad4!N4="M. Verstappen",7,0)+IF(Blad4!N4="P. Gasly",7,0)+IF(Blad4!P4="M. Verstappen",8,0)+IF(Blad4!P4="P. Gasly",8,0)+IF(Blad4!R4="M. Verstappen",9,0)+IF(Blad4!R4="P. Gasly",9,0)+IF(Blad4!T4="M. Verstappen",10,0)+IF(Blad4!T4="P. Gasly",10,0)+IF(Blad4!V4="M. Verstappen",11,0)+IF(Blad4!V4="P. Gasly",11,0)+IF(Blad4!X4="M. Verstappen",12,0)+IF(Blad4!X4="P. Gasly",12,0)+IF(Blad4!Z4="M. Verstappen",13,0)+IF(Blad4!Z4="P. Gasly",13,0)+IF(Blad4!AB4="M. Verstappen",14,0)+IF(Blad4!AB4="P. Gasly",14,0)+IF(Blad4!AD4="M. Verstappen",15,0)+IF(Blad4!AD4="P. Gasly",15,0)+IF(Blad4!AF4="M. Verstappen",16,0)+IF(Blad4!AF4="P. Gasly",16,0)+IF(Blad4!AH4="M. Verstappen",17,0)+IF(Blad4!AH4="P. Gasly",17,0)+IF(Blad4!AJ4="M. Verstappen",18,0)+IF(Blad4!AJ4="P. Gasly",18,0)+IF(Blad4!AL4="M. Verstappen",19,0)+IF(Blad4!AL4="P. Gasly",19,0)+IF(Blad4!AN4="M. Verstappen",20,0)+IF(Blad4!AN4="P. Gasly",20,0))/2</f>
        <v>5.5</v>
      </c>
      <c r="AE11" s="680">
        <f>(IF(Blad4!B5="M. Verstappen",1,0)+IF(Blad4!B5="P. Gasly",1,0)+IF(Blad4!D5="M. Verstappen",2,0)+IF(Blad4!D5="P. Gasly",2,0)+IF(Blad4!F5="M. Verstappen",3,0)+IF(Blad4!F5="P. Gasly",3,0)+IF(Blad4!H5="M. Verstappen",4,0)+IF(Blad4!H5="P. Gasly",4,0)+IF(Blad4!J5="M. Verstappen",5,0)+IF(Blad4!J5="P. Gasly",5,0)+IF(Blad4!L5="M. Verstappen",6,0)+IF(Blad4!L5="P. Gasly",6,0)+IF(Blad4!N5="M. Verstappen",7,0)+IF(Blad4!N5="P. Gasly",7,0)+IF(Blad4!P5="M. Verstappen",8,0)+IF(Blad4!P5="P. Gasly",8,0)+IF(Blad4!R5="M. Verstappen",9,0)+IF(Blad4!R5="P. Gasly",9,0)+IF(Blad4!T5="M. Verstappen",10,0)+IF(Blad4!T5="P. Gasly",10,0)+IF(Blad4!V5="M. Verstappen",11,0)+IF(Blad4!V5="P. Gasly",11,0)+IF(Blad4!X5="M. Verstappen",12,0)+IF(Blad4!X5="P. Gasly",12,0)+IF(Blad4!Z5="M. Verstappen",13,0)+IF(Blad4!Z5="P. Gasly",13,0)+IF(Blad4!AB5="M. Verstappen",14,0)+IF(Blad4!AB5="P. Gasly",14,0)+IF(Blad4!AD5="M. Verstappen",15,0)+IF(Blad4!AD5="P. Gasly",15,0)+IF(Blad4!AF5="M. Verstappen",16,0)+IF(Blad4!AF5="P. Gasly",16,0)+IF(Blad4!AH5="M. Verstappen",17,0)+IF(Blad4!AH5="P. Gasly",17,0)+IF(Blad4!AJ5="M. Verstappen",18,0)+IF(Blad4!AJ5="P. Gasly",18,0)+IF(Blad4!AL5="M. Verstappen",19,0)+IF(Blad4!AL5="P. Gasly",19,0)+IF(Blad4!AN5="M. Verstappen",20,0)+IF(Blad4!AN5="P. Gasly",20,0))/2</f>
        <v>12</v>
      </c>
      <c r="AF11" s="680">
        <f>(IF(Blad4!B6="M. Verstappen",1,0)+IF(Blad4!B6="P. Gasly",1,0)+IF(Blad4!D6="M. Verstappen",2,0)+IF(Blad4!D6="P. Gasly",2,0)+IF(Blad4!F6="M. Verstappen",3,0)+IF(Blad4!F6="P. Gasly",3,0)+IF(Blad4!H6="M. Verstappen",4,0)+IF(Blad4!H6="P. Gasly",4,0)+IF(Blad4!J6="M. Verstappen",5,0)+IF(Blad4!J6="P. Gasly",5,0)+IF(Blad4!L6="M. Verstappen",6,0)+IF(Blad4!L6="P. Gasly",6,0)+IF(Blad4!N6="M. Verstappen",7,0)+IF(Blad4!N6="P. Gasly",7,0)+IF(Blad4!P6="M. Verstappen",8,0)+IF(Blad4!P6="P. Gasly",8,0)+IF(Blad4!R6="M. Verstappen",9,0)+IF(Blad4!R6="P. Gasly",9,0)+IF(Blad4!T6="M. Verstappen",10,0)+IF(Blad4!T6="P. Gasly",10,0)+IF(Blad4!V6="M. Verstappen",11,0)+IF(Blad4!V6="P. Gasly",11,0)+IF(Blad4!X6="M. Verstappen",12,0)+IF(Blad4!X6="P. Gasly",12,0)+IF(Blad4!Z6="M. Verstappen",13,0)+IF(Blad4!Z6="P. Gasly",13,0)+IF(Blad4!AB6="M. Verstappen",14,0)+IF(Blad4!AB6="P. Gasly",14,0)+IF(Blad4!AD6="M. Verstappen",15,0)+IF(Blad4!AD6="P. Gasly",15,0)+IF(Blad4!AF6="M. Verstappen",16,0)+IF(Blad4!AF6="P. Gasly",16,0)+IF(Blad4!AH6="M. Verstappen",17,0)+IF(Blad4!AH6="P. Gasly",17,0)+IF(Blad4!AJ6="M. Verstappen",18,0)+IF(Blad4!AJ6="P. Gasly",18,0)+IF(Blad4!AL6="M. Verstappen",19,0)+IF(Blad4!AL6="P. Gasly",19,0)+IF(Blad4!AN6="M. Verstappen",20,0)+IF(Blad4!AN6="P. Gasly",20,0))/2</f>
        <v>5</v>
      </c>
      <c r="AG11" s="680">
        <f>(IF(Blad4!B7="M. Verstappen",1,0)+IF(Blad4!B7="P. Gasly",1,0)+IF(Blad4!D7="M. Verstappen",2,0)+IF(Blad4!D7="P. Gasly",2,0)+IF(Blad4!F7="M. Verstappen",3,0)+IF(Blad4!F7="P. Gasly",3,0)+IF(Blad4!H7="M. Verstappen",4,0)+IF(Blad4!H7="P. Gasly",4,0)+IF(Blad4!J7="M. Verstappen",5,0)+IF(Blad4!J7="P. Gasly",5,0)+IF(Blad4!L7="M. Verstappen",6,0)+IF(Blad4!L7="P. Gasly",6,0)+IF(Blad4!N7="M. Verstappen",7,0)+IF(Blad4!N7="P. Gasly",7,0)+IF(Blad4!P7="M. Verstappen",8,0)+IF(Blad4!P7="P. Gasly",8,0)+IF(Blad4!R7="M. Verstappen",9,0)+IF(Blad4!R7="P. Gasly",9,0)+IF(Blad4!T7="M. Verstappen",10,0)+IF(Blad4!T7="P. Gasly",10,0)+IF(Blad4!V7="M. Verstappen",11,0)+IF(Blad4!V7="P. Gasly",11,0)+IF(Blad4!X7="M. Verstappen",12,0)+IF(Blad4!X7="P. Gasly",12,0)+IF(Blad4!Z7="M. Verstappen",13,0)+IF(Blad4!Z7="P. Gasly",13,0)+IF(Blad4!AB7="M. Verstappen",14,0)+IF(Blad4!AB7="P. Gasly",14,0)+IF(Blad4!AD7="M. Verstappen",15,0)+IF(Blad4!AD7="P. Gasly",15,0)+IF(Blad4!AF7="M. Verstappen",16,0)+IF(Blad4!AF7="P. Gasly",16,0)+IF(Blad4!AH7="M. Verstappen",17,0)+IF(Blad4!AH7="P. Gasly",17,0)+IF(Blad4!AJ7="M. Verstappen",18,0)+IF(Blad4!AJ7="P. Gasly",18,0)+IF(Blad4!AL7="M. Verstappen",19,0)+IF(Blad4!AL7="P. Gasly",19,0)+IF(Blad4!AN7="M. Verstappen",20,0)+IF(Blad4!AN7="P. Gasly",20,0))/2</f>
        <v>5.5</v>
      </c>
      <c r="AH11" s="680">
        <f>(IF(Blad4!B8="M. Verstappen",1,0)+IF(Blad4!B8="P. Gasly",1,0)+IF(Blad4!D8="M. Verstappen",2,0)+IF(Blad4!D8="P. Gasly",2,0)+IF(Blad4!F8="M. Verstappen",3,0)+IF(Blad4!F8="P. Gasly",3,0)+IF(Blad4!H8="M. Verstappen",4,0)+IF(Blad4!H8="P. Gasly",4,0)+IF(Blad4!J8="M. Verstappen",5,0)+IF(Blad4!J8="P. Gasly",5,0)+IF(Blad4!L8="M. Verstappen",6,0)+IF(Blad4!L8="P. Gasly",6,0)+IF(Blad4!N8="M. Verstappen",7,0)+IF(Blad4!N8="P. Gasly",7,0)+IF(Blad4!P8="M. Verstappen",8,0)+IF(Blad4!P8="P. Gasly",8,0)+IF(Blad4!R8="M. Verstappen",9,0)+IF(Blad4!R8="P. Gasly",9,0)+IF(Blad4!T8="M. Verstappen",10,0)+IF(Blad4!T8="P. Gasly",10,0)+IF(Blad4!V8="M. Verstappen",11,0)+IF(Blad4!V8="P. Gasly",11,0)+IF(Blad4!X8="M. Verstappen",12,0)+IF(Blad4!X8="P. Gasly",12,0)+IF(Blad4!Z8="M. Verstappen",13,0)+IF(Blad4!Z8="P. Gasly",13,0)+IF(Blad4!AB8="M. Verstappen",14,0)+IF(Blad4!AB8="P. Gasly",14,0)+IF(Blad4!AD8="M. Verstappen",15,0)+IF(Blad4!AD8="P. Gasly",15,0)+IF(Blad4!AF8="M. Verstappen",16,0)+IF(Blad4!AF8="P. Gasly",16,0)+IF(Blad4!AH8="M. Verstappen",17,0)+IF(Blad4!AH8="P. Gasly",17,0)+IF(Blad4!AJ8="M. Verstappen",18,0)+IF(Blad4!AJ8="P. Gasly",18,0)+IF(Blad4!AL8="M. Verstappen",19,0)+IF(Blad4!AL8="P. Gasly",19,0)+IF(Blad4!AN8="M. Verstappen",20,0)+IF(Blad4!AN8="P. Gasly",20,0))/2</f>
        <v>7</v>
      </c>
      <c r="AI11" s="680">
        <f>(IF(Blad4!B9="M. Verstappen",1,0)+IF(Blad4!B9="P. Gasly",1,0)+IF(Blad4!D9="M. Verstappen",2,0)+IF(Blad4!D9="P. Gasly",2,0)+IF(Blad4!F9="M. Verstappen",3,0)+IF(Blad4!F9="P. Gasly",3,0)+IF(Blad4!H9="M. Verstappen",4,0)+IF(Blad4!H9="P. Gasly",4,0)+IF(Blad4!J9="M. Verstappen",5,0)+IF(Blad4!J9="P. Gasly",5,0)+IF(Blad4!L9="M. Verstappen",6,0)+IF(Blad4!L9="P. Gasly",6,0)+IF(Blad4!N9="M. Verstappen",7,0)+IF(Blad4!N9="P. Gasly",7,0)+IF(Blad4!P9="M. Verstappen",8,0)+IF(Blad4!P9="P. Gasly",8,0)+IF(Blad4!R9="M. Verstappen",9,0)+IF(Blad4!R9="P. Gasly",9,0)+IF(Blad4!T9="M. Verstappen",10,0)+IF(Blad4!T9="P. Gasly",10,0)+IF(Blad4!V9="M. Verstappen",11,0)+IF(Blad4!V9="P. Gasly",11,0)+IF(Blad4!X9="M. Verstappen",12,0)+IF(Blad4!X9="P. Gasly",12,0)+IF(Blad4!Z9="M. Verstappen",13,0)+IF(Blad4!Z9="P. Gasly",13,0)+IF(Blad4!AB9="M. Verstappen",14,0)+IF(Blad4!AB9="P. Gasly",14,0)+IF(Blad4!AD9="M. Verstappen",15,0)+IF(Blad4!AD9="P. Gasly",15,0)+IF(Blad4!AF9="M. Verstappen",16,0)+IF(Blad4!AF9="P. Gasly",16,0)+IF(Blad4!AH9="M. Verstappen",17,0)+IF(Blad4!AH9="P. Gasly",17,0)+IF(Blad4!AJ9="M. Verstappen",18,0)+IF(Blad4!AJ9="P. Gasly",18,0)+IF(Blad4!AL9="M. Verstappen",19,0)+IF(Blad4!AL9="P. Gasly",19,0)+IF(Blad4!AN9="M. Verstappen",20,0)+IF(Blad4!AN9="P. Gasly",20,0))/2</f>
        <v>6.5</v>
      </c>
      <c r="AJ11" s="680">
        <f>(IF(Blad4!B10="M. Verstappen",1,0)+IF(Blad4!B10="P. Gasly",1,0)+IF(Blad4!D10="M. Verstappen",2,0)+IF(Blad4!D10="P. Gasly",2,0)+IF(Blad4!F10="M. Verstappen",3,0)+IF(Blad4!F10="P. Gasly",3,0)+IF(Blad4!H10="M. Verstappen",4,0)+IF(Blad4!H10="P. Gasly",4,0)+IF(Blad4!J10="M. Verstappen",5,0)+IF(Blad4!J10="P. Gasly",5,0)+IF(Blad4!L10="M. Verstappen",6,0)+IF(Blad4!L10="P. Gasly",6,0)+IF(Blad4!N10="M. Verstappen",7,0)+IF(Blad4!N10="P. Gasly",7,0)+IF(Blad4!P10="M. Verstappen",8,0)+IF(Blad4!P10="P. Gasly",8,0)+IF(Blad4!R10="M. Verstappen",9,0)+IF(Blad4!R10="P. Gasly",9,0)+IF(Blad4!T10="M. Verstappen",10,0)+IF(Blad4!T10="P. Gasly",10,0)+IF(Blad4!V10="M. Verstappen",11,0)+IF(Blad4!V10="P. Gasly",11,0)+IF(Blad4!X10="M. Verstappen",12,0)+IF(Blad4!X10="P. Gasly",12,0)+IF(Blad4!Z10="M. Verstappen",13,0)+IF(Blad4!Z10="P. Gasly",13,0)+IF(Blad4!AB10="M. Verstappen",14,0)+IF(Blad4!AB10="P. Gasly",14,0)+IF(Blad4!AD10="M. Verstappen",15,0)+IF(Blad4!AD10="P. Gasly",15,0)+IF(Blad4!AF10="M. Verstappen",16,0)+IF(Blad4!AF10="P. Gasly",16,0)+IF(Blad4!AH10="M. Verstappen",17,0)+IF(Blad4!AH10="P. Gasly",17,0)+IF(Blad4!AJ10="M. Verstappen",18,0)+IF(Blad4!AJ10="P. Gasly",18,0)+IF(Blad4!AL10="M. Verstappen",19,0)+IF(Blad4!AL10="P. Gasly",19,0)+IF(Blad4!AN10="M. Verstappen",20,0)+IF(Blad4!AN10="P. Gasly",20,0))/2</f>
        <v>5</v>
      </c>
      <c r="AK11" s="680">
        <f>(IF(Blad4!B11="M. Verstappen",1,0)+IF(Blad4!B11="P. Gasly",1,0)+IF(Blad4!D11="M. Verstappen",2,0)+IF(Blad4!D11="P. Gasly",2,0)+IF(Blad4!F11="M. Verstappen",3,0)+IF(Blad4!F11="P. Gasly",3,0)+IF(Blad4!H11="M. Verstappen",4,0)+IF(Blad4!H11="P. Gasly",4,0)+IF(Blad4!J11="M. Verstappen",5,0)+IF(Blad4!J11="P. Gasly",5,0)+IF(Blad4!L11="M. Verstappen",6,0)+IF(Blad4!L11="P. Gasly",6,0)+IF(Blad4!N11="M. Verstappen",7,0)+IF(Blad4!N11="P. Gasly",7,0)+IF(Blad4!P11="M. Verstappen",8,0)+IF(Blad4!P11="P. Gasly",8,0)+IF(Blad4!R11="M. Verstappen",9,0)+IF(Blad4!R11="P. Gasly",9,0)+IF(Blad4!T11="M. Verstappen",10,0)+IF(Blad4!T11="P. Gasly",10,0)+IF(Blad4!V11="M. Verstappen",11,0)+IF(Blad4!V11="P. Gasly",11,0)+IF(Blad4!X11="M. Verstappen",12,0)+IF(Blad4!X11="P. Gasly",12,0)+IF(Blad4!Z11="M. Verstappen",13,0)+IF(Blad4!Z11="P. Gasly",13,0)+IF(Blad4!AB11="M. Verstappen",14,0)+IF(Blad4!AB11="P. Gasly",14,0)+IF(Blad4!AD11="M. Verstappen",15,0)+IF(Blad4!AD11="P. Gasly",15,0)+IF(Blad4!AF11="M. Verstappen",16,0)+IF(Blad4!AF11="P. Gasly",16,0)+IF(Blad4!AH11="M. Verstappen",17,0)+IF(Blad4!AH11="P. Gasly",17,0)+IF(Blad4!AJ11="M. Verstappen",18,0)+IF(Blad4!AJ11="P. Gasly",18,0)+IF(Blad4!AL11="M. Verstappen",19,0)+IF(Blad4!AL11="P. Gasly",19,0)+IF(Blad4!AN11="M. Verstappen",20,0)+IF(Blad4!AN11="P. Gasly",20,0))/2</f>
        <v>4.5</v>
      </c>
      <c r="AL11" s="680">
        <f>(IF(Blad4!B12="M. Verstappen",1,0)+IF(Blad4!B12="P. Gasly",1,0)+IF(Blad4!D12="M. Verstappen",2,0)+IF(Blad4!D12="P. Gasly",2,0)+IF(Blad4!F12="M. Verstappen",3,0)+IF(Blad4!F12="P. Gasly",3,0)+IF(Blad4!H12="M. Verstappen",4,0)+IF(Blad4!H12="P. Gasly",4,0)+IF(Blad4!J12="M. Verstappen",5,0)+IF(Blad4!J12="P. Gasly",5,0)+IF(Blad4!L12="M. Verstappen",6,0)+IF(Blad4!L12="P. Gasly",6,0)+IF(Blad4!N12="M. Verstappen",7,0)+IF(Blad4!N12="P. Gasly",7,0)+IF(Blad4!P12="M. Verstappen",8,0)+IF(Blad4!P12="P. Gasly",8,0)+IF(Blad4!R12="M. Verstappen",9,0)+IF(Blad4!R12="P. Gasly",9,0)+IF(Blad4!T12="M. Verstappen",10,0)+IF(Blad4!T12="P. Gasly",10,0)+IF(Blad4!V12="M. Verstappen",11,0)+IF(Blad4!V12="P. Gasly",11,0)+IF(Blad4!X12="M. Verstappen",12,0)+IF(Blad4!X12="P. Gasly",12,0)+IF(Blad4!Z12="M. Verstappen",13,0)+IF(Blad4!Z12="P. Gasly",13,0)+IF(Blad4!AB12="M. Verstappen",14,0)+IF(Blad4!AB12="P. Gasly",14,0)+IF(Blad4!AD12="M. Verstappen",15,0)+IF(Blad4!AD12="P. Gasly",15,0)+IF(Blad4!AF12="M. Verstappen",16,0)+IF(Blad4!AF12="P. Gasly",16,0)+IF(Blad4!AH12="M. Verstappen",17,0)+IF(Blad4!AH12="P. Gasly",17,0)+IF(Blad4!AJ12="M. Verstappen",18,0)+IF(Blad4!AJ12="P. Gasly",18,0)+IF(Blad4!AL12="M. Verstappen",19,0)+IF(Blad4!AL12="P. Gasly",19,0)+IF(Blad4!AN12="M. Verstappen",20,0)+IF(Blad4!AN12="P. Gasly",20,0))/2</f>
        <v>3</v>
      </c>
      <c r="AM11" s="680">
        <f>(IF(Blad4!B13="M. Verstappen",1,0)+IF(Blad4!B13="P. Gasly",1,0)+IF(Blad4!D13="M. Verstappen",2,0)+IF(Blad4!D13="P. Gasly",2,0)+IF(Blad4!F13="M. Verstappen",3,0)+IF(Blad4!F13="P. Gasly",3,0)+IF(Blad4!H13="M. Verstappen",4,0)+IF(Blad4!H13="P. Gasly",4,0)+IF(Blad4!J13="M. Verstappen",5,0)+IF(Blad4!J13="P. Gasly",5,0)+IF(Blad4!L13="M. Verstappen",6,0)+IF(Blad4!L13="P. Gasly",6,0)+IF(Blad4!N13="M. Verstappen",7,0)+IF(Blad4!N13="P. Gasly",7,0)+IF(Blad4!P13="M. Verstappen",8,0)+IF(Blad4!P13="P. Gasly",8,0)+IF(Blad4!R13="M. Verstappen",9,0)+IF(Blad4!R13="P. Gasly",9,0)+IF(Blad4!T13="M. Verstappen",10,0)+IF(Blad4!T13="P. Gasly",10,0)+IF(Blad4!V13="M. Verstappen",11,0)+IF(Blad4!V13="P. Gasly",11,0)+IF(Blad4!X13="M. Verstappen",12,0)+IF(Blad4!X13="P. Gasly",12,0)+IF(Blad4!Z13="M. Verstappen",13,0)+IF(Blad4!Z13="P. Gasly",13,0)+IF(Blad4!AB13="M. Verstappen",14,0)+IF(Blad4!AB13="P. Gasly",14,0)+IF(Blad4!AD13="M. Verstappen",15,0)+IF(Blad4!AD13="P. Gasly",15,0)+IF(Blad4!AF13="M. Verstappen",16,0)+IF(Blad4!AF13="P. Gasly",16,0)+IF(Blad4!AH13="M. Verstappen",17,0)+IF(Blad4!AH13="P. Gasly",17,0)+IF(Blad4!AJ13="M. Verstappen",18,0)+IF(Blad4!AJ13="P. Gasly",18,0)+IF(Blad4!AL13="M. Verstappen",19,0)+IF(Blad4!AL13="P. Gasly",19,0)+IF(Blad4!AN13="M. Verstappen",20,0)+IF(Blad4!AN13="P. Gasly",20,0))/2</f>
        <v>3.5</v>
      </c>
      <c r="AN11" s="709">
        <f>(IF(Blad4!B14="M. Verstappen",1,0)+IF(Blad4!B14="A. Albon¹",1,0)+IF(Blad4!D14="M. Verstappen",2,0)+IF(Blad4!D14="A. Albon¹",2,0)+IF(Blad4!F14="M. Verstappen",3,0)+IF(Blad4!F14="A. Albon¹",3,0)+IF(Blad4!H14="M. Verstappen",4,0)+IF(Blad4!H14="A. Albon¹",4,0)+IF(Blad4!J14="M. Verstappen",5,0)+IF(Blad4!J14="A. Albon¹",5,0)+IF(Blad4!L14="M. Verstappen",6,0)+IF(Blad4!L14="A. Albon¹",6,0)+IF(Blad4!N14="M. Verstappen",7,0)+IF(Blad4!N14="A. Albon¹",7,0)+IF(Blad4!P14="M. Verstappen",8,0)+IF(Blad4!P14="A. Albon¹",8,0)+IF(Blad4!R14="M. Verstappen",9,0)+IF(Blad4!R14="A. Albon¹",9,0)+IF(Blad4!T14="M. Verstappen",10,0)+IF(Blad4!T14="A. Albon¹",10,0)+IF(Blad4!V14="M. Verstappen",11,0)+IF(Blad4!V14="A. Albon¹",11,0)+IF(Blad4!X14="M. Verstappen",12,0)+IF(Blad4!X14="A. Albon¹",12,0)+IF(Blad4!Z14="M. Verstappen",13,0)+IF(Blad4!Z14="A. Albon¹",13,0)+IF(Blad4!AB14="M. Verstappen",14,0)+IF(Blad4!AB14="A. Albon¹",14,0)+IF(Blad4!AD14="M. Verstappen",15,0)+IF(Blad4!AD14="A. Albon¹",15,0)+IF(Blad4!AF14="M. Verstappen",16,0)+IF(Blad4!AF14="A. Albon¹",16,0)+IF(Blad4!AH14="M. Verstappen",17,0)+IF(Blad4!AH14="A. Albon¹",17,0)+IF(Blad4!AJ14="M. Verstappen",18,0)+IF(Blad4!AJ14="A. Albon¹",18,0)+IF(Blad4!AL14="M. Verstappen",19,0)+IF(Blad4!AL14="A. Albon¹",19,0)+IF(Blad4!AN14="M. Verstappen",20,0)+IF(Blad4!AN14="A. Albon¹",20,0))/2</f>
        <v>11</v>
      </c>
      <c r="AO11" s="709">
        <f>(IF(Blad4!B15="M. Verstappen",1,0)+IF(Blad4!B15="A. Albon¹",1,0)+IF(Blad4!D15="M. Verstappen",2,0)+IF(Blad4!D15="A. Albon¹",2,0)+IF(Blad4!F15="M. Verstappen",3,0)+IF(Blad4!F15="A. Albon¹",3,0)+IF(Blad4!H15="M. Verstappen",4,0)+IF(Blad4!H15="A. Albon¹",4,0)+IF(Blad4!J15="M. Verstappen",5,0)+IF(Blad4!J15="A. Albon¹",5,0)+IF(Blad4!L15="M. Verstappen",6,0)+IF(Blad4!L15="A. Albon¹",6,0)+IF(Blad4!N15="M. Verstappen",7,0)+IF(Blad4!N15="A. Albon¹",7,0)+IF(Blad4!P15="M. Verstappen",8,0)+IF(Blad4!P15="A. Albon¹",8,0)+IF(Blad4!R15="M. Verstappen",9,0)+IF(Blad4!R15="A. Albon¹",9,0)+IF(Blad4!T15="M. Verstappen",10,0)+IF(Blad4!T15="A. Albon¹",10,0)+IF(Blad4!V15="M. Verstappen",11,0)+IF(Blad4!V15="A. Albon¹",11,0)+IF(Blad4!X15="M. Verstappen",12,0)+IF(Blad4!X15="A. Albon¹",12,0)+IF(Blad4!Z15="M. Verstappen",13,0)+IF(Blad4!Z15="A. Albon¹",13,0)+IF(Blad4!AB15="M. Verstappen",14,0)+IF(Blad4!AB15="A. Albon¹",14,0)+IF(Blad4!AD15="M. Verstappen",15,0)+IF(Blad4!AD15="A. Albon¹",15,0)+IF(Blad4!AF15="M. Verstappen",16,0)+IF(Blad4!AF15="A. Albon¹",16,0)+IF(Blad4!AH15="M. Verstappen",17,0)+IF(Blad4!AH15="A. Albon¹",17,0)+IF(Blad4!AJ15="M. Verstappen",18,0)+IF(Blad4!AJ15="A. Albon¹",18,0)+IF(Blad4!AL15="M. Verstappen",19,0)+IF(Blad4!AL15="A. Albon¹",19,0)+IF(Blad4!AN15="M. Verstappen",20,0)+IF(Blad4!AN15="A. Albon¹",20,0))/2</f>
        <v>13.5</v>
      </c>
      <c r="AP11" s="680"/>
      <c r="AQ11" s="680"/>
      <c r="AR11" s="680"/>
      <c r="AS11" s="680"/>
      <c r="AT11" s="680"/>
      <c r="AU11" s="680"/>
      <c r="AV11" s="681"/>
    </row>
    <row r="12" spans="3:48" x14ac:dyDescent="0.2">
      <c r="AA12" s="669" t="s">
        <v>397</v>
      </c>
      <c r="AB12" s="679">
        <f>(IF(Blad4!B2="D. Ricciardo",1,0)+IF(Blad4!B2="N. Hulkenberg",1,0)+IF(Blad4!D2="D. Ricciardo",2,0)+IF(Blad4!D2="N. Hulkenberg",2,0)+IF(Blad4!F2="D. Ricciardo",3,0)+IF(Blad4!F2="N. Hulkenberg",3,0)+IF(Blad4!H2="D. Ricciardo",4,0)+IF(Blad4!H2="N. Hulkenberg",4,0)+IF(Blad4!J2="D. Ricciardo",5,0)+IF(Blad4!J2="N. Hulkenberg",5,0)+IF(Blad4!L2="D. Ricciardo",6,0)+IF(Blad4!L2="N. Hulkenberg",6,0)+IF(Blad4!N2="D. Ricciardo",7,0)+IF(Blad4!N2="N. Hulkenberg",7,0)+IF(Blad4!P2="D. Ricciardo",8,0)+IF(Blad4!P2="N. Hulkenberg",8,0)+IF(Blad4!R2="D. Ricciardo",9,0)+IF(Blad4!R2="N. Hulkenberg",9,0)+IF(Blad4!T2="D. Ricciardo",10,0)+IF(Blad4!T2="N. Hulkenberg",10,0)+IF(Blad4!V2="D. Ricciardo",11,0)+IF(Blad4!V2="N. Hulkenberg",11,0)+IF(Blad4!X2="D. Ricciardo",12,0)+IF(Blad4!X2="N. Hulkenberg",12,0)+IF(Blad4!Z2="D. Ricciardo",13,0)+IF(Blad4!Z2="N. Hulkenberg",13,0)+IF(Blad4!AB2="D. Ricciardo",14,0)+IF(Blad4!AB2="N. Hulkenberg",14,0)+IF(Blad4!AD2="D. Ricciardo",15,0)+IF(Blad4!AD2="N. Hulkenberg",15,0)+IF(Blad4!AF2="D. Ricciardo",16,0)+IF(Blad4!AF2="N. Hulkenberg",16,0)+IF(Blad4!AH2="D. Ricciardo",17,0)+IF(Blad4!AH2="N. Hulkenberg",17,0)+IF(Blad4!AJ2="D. Ricciardo",18,0)+IF(Blad4!AJ2="N. Hulkenberg",18,0)+IF(Blad4!AL2="D. Ricciardo",19,0)+IF(Blad4!AL2="N. Hulkenberg",19,0)+IF(Blad4!AN2="D. Ricciardo",20,0)+IF(Blad4!AN2="N. Hulkenberg",20,0))/2</f>
        <v>11.5</v>
      </c>
      <c r="AC12" s="680">
        <f>(IF(Blad4!B3="D. Ricciardo",1,0)+IF(Blad4!B3="N. Hulkenberg",1,0)+IF(Blad4!D3="D. Ricciardo",2,0)+IF(Blad4!D3="N. Hulkenberg",2,0)+IF(Blad4!F3="D. Ricciardo",3,0)+IF(Blad4!F3="N. Hulkenberg",3,0)+IF(Blad4!H3="D. Ricciardo",4,0)+IF(Blad4!H3="N. Hulkenberg",4,0)+IF(Blad4!J3="D. Ricciardo",5,0)+IF(Blad4!J3="N. Hulkenberg",5,0)+IF(Blad4!L3="D. Ricciardo",6,0)+IF(Blad4!L3="N. Hulkenberg",6,0)+IF(Blad4!N3="D. Ricciardo",7,0)+IF(Blad4!N3="N. Hulkenberg",7,0)+IF(Blad4!P3="D. Ricciardo",8,0)+IF(Blad4!P3="N. Hulkenberg",8,0)+IF(Blad4!R3="D. Ricciardo",9,0)+IF(Blad4!R3="N. Hulkenberg",9,0)+IF(Blad4!T3="D. Ricciardo",10,0)+IF(Blad4!T3="N. Hulkenberg",10,0)+IF(Blad4!V3="D. Ricciardo",11,0)+IF(Blad4!V3="N. Hulkenberg",11,0)+IF(Blad4!X3="D. Ricciardo",12,0)+IF(Blad4!X3="N. Hulkenberg",12,0)+IF(Blad4!Z3="D. Ricciardo",13,0)+IF(Blad4!Z3="N. Hulkenberg",13,0)+IF(Blad4!AB3="D. Ricciardo",14,0)+IF(Blad4!AB3="N. Hulkenberg",14,0)+IF(Blad4!AD3="D. Ricciardo",15,0)+IF(Blad4!AD3="N. Hulkenberg",15,0)+IF(Blad4!AF3="D. Ricciardo",16,0)+IF(Blad4!AF3="N. Hulkenberg",16,0)+IF(Blad4!AH3="D. Ricciardo",17,0)+IF(Blad4!AH3="N. Hulkenberg",17,0)+IF(Blad4!AJ3="D. Ricciardo",18,0)+IF(Blad4!AJ3="N. Hulkenberg",18,0)+IF(Blad4!AL3="D. Ricciardo",19,0)+IF(Blad4!AL3="N. Hulkenberg",19,0)+IF(Blad4!AN3="D. Ricciardo",20,0)+IF(Blad4!AN3="N. Hulkenberg",20,0))/2</f>
        <v>13.5</v>
      </c>
      <c r="AD12" s="680">
        <f>(IF(Blad4!B4="D. Ricciardo",1,0)+IF(Blad4!B4="N. Hulkenberg",1,0)+IF(Blad4!D4="D. Ricciardo",2,0)+IF(Blad4!D4="N. Hulkenberg",2,0)+IF(Blad4!F4="D. Ricciardo",3,0)+IF(Blad4!F4="N. Hulkenberg",3,0)+IF(Blad4!H4="D. Ricciardo",4,0)+IF(Blad4!H4="N. Hulkenberg",4,0)+IF(Blad4!J4="D. Ricciardo",5,0)+IF(Blad4!J4="N. Hulkenberg",5,0)+IF(Blad4!L4="D. Ricciardo",6,0)+IF(Blad4!L4="N. Hulkenberg",6,0)+IF(Blad4!N4="D. Ricciardo",7,0)+IF(Blad4!N4="N. Hulkenberg",7,0)+IF(Blad4!P4="D. Ricciardo",8,0)+IF(Blad4!P4="N. Hulkenberg",8,0)+IF(Blad4!R4="D. Ricciardo",9,0)+IF(Blad4!R4="N. Hulkenberg",9,0)+IF(Blad4!T4="D. Ricciardo",10,0)+IF(Blad4!T4="N. Hulkenberg",10,0)+IF(Blad4!V4="D. Ricciardo",11,0)+IF(Blad4!V4="N. Hulkenberg",11,0)+IF(Blad4!X4="D. Ricciardo",12,0)+IF(Blad4!X4="N. Hulkenberg",12,0)+IF(Blad4!Z4="D. Ricciardo",13,0)+IF(Blad4!Z4="N. Hulkenberg",13,0)+IF(Blad4!AB4="D. Ricciardo",14,0)+IF(Blad4!AB4="N. Hulkenberg",14,0)+IF(Blad4!AD4="D. Ricciardo",15,0)+IF(Blad4!AD4="N. Hulkenberg",15,0)+IF(Blad4!AF4="D. Ricciardo",16,0)+IF(Blad4!AF4="N. Hulkenberg",16,0)+IF(Blad4!AH4="D. Ricciardo",17,0)+IF(Blad4!AH4="N. Hulkenberg",17,0)+IF(Blad4!AJ4="D. Ricciardo",18,0)+IF(Blad4!AJ4="N. Hulkenberg",18,0)+IF(Blad4!AL4="D. Ricciardo",19,0)+IF(Blad4!AL4="N. Hulkenberg",19,0)+IF(Blad4!AN4="D. Ricciardo",20,0)+IF(Blad4!AN4="N. Hulkenberg",20,0))/2</f>
        <v>7.5</v>
      </c>
      <c r="AE12" s="680">
        <f>(IF(Blad4!B5="D. Ricciardo",1,0)+IF(Blad4!B5="N. Hulkenberg",1,0)+IF(Blad4!D5="D. Ricciardo",2,0)+IF(Blad4!D5="N. Hulkenberg",2,0)+IF(Blad4!F5="D. Ricciardo",3,0)+IF(Blad4!F5="N. Hulkenberg",3,0)+IF(Blad4!H5="D. Ricciardo",4,0)+IF(Blad4!H5="N. Hulkenberg",4,0)+IF(Blad4!J5="D. Ricciardo",5,0)+IF(Blad4!J5="N. Hulkenberg",5,0)+IF(Blad4!L5="D. Ricciardo",6,0)+IF(Blad4!L5="N. Hulkenberg",6,0)+IF(Blad4!N5="D. Ricciardo",7,0)+IF(Blad4!N5="N. Hulkenberg",7,0)+IF(Blad4!P5="D. Ricciardo",8,0)+IF(Blad4!P5="N. Hulkenberg",8,0)+IF(Blad4!R5="D. Ricciardo",9,0)+IF(Blad4!R5="N. Hulkenberg",9,0)+IF(Blad4!T5="D. Ricciardo",10,0)+IF(Blad4!T5="N. Hulkenberg",10,0)+IF(Blad4!V5="D. Ricciardo",11,0)+IF(Blad4!V5="N. Hulkenberg",11,0)+IF(Blad4!X5="D. Ricciardo",12,0)+IF(Blad4!X5="N. Hulkenberg",12,0)+IF(Blad4!Z5="D. Ricciardo",13,0)+IF(Blad4!Z5="N. Hulkenberg",13,0)+IF(Blad4!AB5="D. Ricciardo",14,0)+IF(Blad4!AB5="N. Hulkenberg",14,0)+IF(Blad4!AD5="D. Ricciardo",15,0)+IF(Blad4!AD5="N. Hulkenberg",15,0)+IF(Blad4!AF5="D. Ricciardo",16,0)+IF(Blad4!AF5="N. Hulkenberg",16,0)+IF(Blad4!AH5="D. Ricciardo",17,0)+IF(Blad4!AH5="N. Hulkenberg",17,0)+IF(Blad4!AJ5="D. Ricciardo",18,0)+IF(Blad4!AJ5="N. Hulkenberg",18,0)+IF(Blad4!AL5="D. Ricciardo",19,0)+IF(Blad4!AL5="N. Hulkenberg",19,0)+IF(Blad4!AN5="D. Ricciardo",20,0)+IF(Blad4!AN5="N. Hulkenberg",20,0))/2</f>
        <v>12.5</v>
      </c>
      <c r="AF12" s="680">
        <f>(IF(Blad4!B6="D. Ricciardo",1,0)+IF(Blad4!B6="N. Hulkenberg",1,0)+IF(Blad4!D6="D. Ricciardo",2,0)+IF(Blad4!D6="N. Hulkenberg",2,0)+IF(Blad4!F6="D. Ricciardo",3,0)+IF(Blad4!F6="N. Hulkenberg",3,0)+IF(Blad4!H6="D. Ricciardo",4,0)+IF(Blad4!H6="N. Hulkenberg",4,0)+IF(Blad4!J6="D. Ricciardo",5,0)+IF(Blad4!J6="N. Hulkenberg",5,0)+IF(Blad4!L6="D. Ricciardo",6,0)+IF(Blad4!L6="N. Hulkenberg",6,0)+IF(Blad4!N6="D. Ricciardo",7,0)+IF(Blad4!N6="N. Hulkenberg",7,0)+IF(Blad4!P6="D. Ricciardo",8,0)+IF(Blad4!P6="N. Hulkenberg",8,0)+IF(Blad4!R6="D. Ricciardo",9,0)+IF(Blad4!R6="N. Hulkenberg",9,0)+IF(Blad4!T6="D. Ricciardo",10,0)+IF(Blad4!T6="N. Hulkenberg",10,0)+IF(Blad4!V6="D. Ricciardo",11,0)+IF(Blad4!V6="N. Hulkenberg",11,0)+IF(Blad4!X6="D. Ricciardo",12,0)+IF(Blad4!X6="N. Hulkenberg",12,0)+IF(Blad4!Z6="D. Ricciardo",13,0)+IF(Blad4!Z6="N. Hulkenberg",13,0)+IF(Blad4!AB6="D. Ricciardo",14,0)+IF(Blad4!AB6="N. Hulkenberg",14,0)+IF(Blad4!AD6="D. Ricciardo",15,0)+IF(Blad4!AD6="N. Hulkenberg",15,0)+IF(Blad4!AF6="D. Ricciardo",16,0)+IF(Blad4!AF6="N. Hulkenberg",16,0)+IF(Blad4!AH6="D. Ricciardo",17,0)+IF(Blad4!AH6="N. Hulkenberg",17,0)+IF(Blad4!AJ6="D. Ricciardo",18,0)+IF(Blad4!AJ6="N. Hulkenberg",18,0)+IF(Blad4!AL6="D. Ricciardo",19,0)+IF(Blad4!AL6="N. Hulkenberg",19,0)+IF(Blad4!AN6="D. Ricciardo",20,0)+IF(Blad4!AN6="N. Hulkenberg",20,0))/2</f>
        <v>16.5</v>
      </c>
      <c r="AG12" s="680">
        <f>(IF(Blad4!B7="D. Ricciardo",1,0)+IF(Blad4!B7="N. Hulkenberg",1,0)+IF(Blad4!D7="D. Ricciardo",2,0)+IF(Blad4!D7="N. Hulkenberg",2,0)+IF(Blad4!F7="D. Ricciardo",3,0)+IF(Blad4!F7="N. Hulkenberg",3,0)+IF(Blad4!H7="D. Ricciardo",4,0)+IF(Blad4!H7="N. Hulkenberg",4,0)+IF(Blad4!J7="D. Ricciardo",5,0)+IF(Blad4!J7="N. Hulkenberg",5,0)+IF(Blad4!L7="D. Ricciardo",6,0)+IF(Blad4!L7="N. Hulkenberg",6,0)+IF(Blad4!N7="D. Ricciardo",7,0)+IF(Blad4!N7="N. Hulkenberg",7,0)+IF(Blad4!P7="D. Ricciardo",8,0)+IF(Blad4!P7="N. Hulkenberg",8,0)+IF(Blad4!R7="D. Ricciardo",9,0)+IF(Blad4!R7="N. Hulkenberg",9,0)+IF(Blad4!T7="D. Ricciardo",10,0)+IF(Blad4!T7="N. Hulkenberg",10,0)+IF(Blad4!V7="D. Ricciardo",11,0)+IF(Blad4!V7="N. Hulkenberg",11,0)+IF(Blad4!X7="D. Ricciardo",12,0)+IF(Blad4!X7="N. Hulkenberg",12,0)+IF(Blad4!Z7="D. Ricciardo",13,0)+IF(Blad4!Z7="N. Hulkenberg",13,0)+IF(Blad4!AB7="D. Ricciardo",14,0)+IF(Blad4!AB7="N. Hulkenberg",14,0)+IF(Blad4!AD7="D. Ricciardo",15,0)+IF(Blad4!AD7="N. Hulkenberg",15,0)+IF(Blad4!AF7="D. Ricciardo",16,0)+IF(Blad4!AF7="N. Hulkenberg",16,0)+IF(Blad4!AH7="D. Ricciardo",17,0)+IF(Blad4!AH7="N. Hulkenberg",17,0)+IF(Blad4!AJ7="D. Ricciardo",18,0)+IF(Blad4!AJ7="N. Hulkenberg",18,0)+IF(Blad4!AL7="D. Ricciardo",19,0)+IF(Blad4!AL7="N. Hulkenberg",19,0)+IF(Blad4!AN7="D. Ricciardo",20,0)+IF(Blad4!AN7="N. Hulkenberg",20,0))/2</f>
        <v>8.5</v>
      </c>
      <c r="AH12" s="680">
        <f>(IF(Blad4!B8="D. Ricciardo",1,0)+IF(Blad4!B8="N. Hulkenberg",1,0)+IF(Blad4!D8="D. Ricciardo",2,0)+IF(Blad4!D8="N. Hulkenberg",2,0)+IF(Blad4!F8="D. Ricciardo",3,0)+IF(Blad4!F8="N. Hulkenberg",3,0)+IF(Blad4!H8="D. Ricciardo",4,0)+IF(Blad4!H8="N. Hulkenberg",4,0)+IF(Blad4!J8="D. Ricciardo",5,0)+IF(Blad4!J8="N. Hulkenberg",5,0)+IF(Blad4!L8="D. Ricciardo",6,0)+IF(Blad4!L8="N. Hulkenberg",6,0)+IF(Blad4!N8="D. Ricciardo",7,0)+IF(Blad4!N8="N. Hulkenberg",7,0)+IF(Blad4!P8="D. Ricciardo",8,0)+IF(Blad4!P8="N. Hulkenberg",8,0)+IF(Blad4!R8="D. Ricciardo",9,0)+IF(Blad4!R8="N. Hulkenberg",9,0)+IF(Blad4!T8="D. Ricciardo",10,0)+IF(Blad4!T8="N. Hulkenberg",10,0)+IF(Blad4!V8="D. Ricciardo",11,0)+IF(Blad4!V8="N. Hulkenberg",11,0)+IF(Blad4!X8="D. Ricciardo",12,0)+IF(Blad4!X8="N. Hulkenberg",12,0)+IF(Blad4!Z8="D. Ricciardo",13,0)+IF(Blad4!Z8="N. Hulkenberg",13,0)+IF(Blad4!AB8="D. Ricciardo",14,0)+IF(Blad4!AB8="N. Hulkenberg",14,0)+IF(Blad4!AD8="D. Ricciardo",15,0)+IF(Blad4!AD8="N. Hulkenberg",15,0)+IF(Blad4!AF8="D. Ricciardo",16,0)+IF(Blad4!AF8="N. Hulkenberg",16,0)+IF(Blad4!AH8="D. Ricciardo",17,0)+IF(Blad4!AH8="N. Hulkenberg",17,0)+IF(Blad4!AJ8="D. Ricciardo",18,0)+IF(Blad4!AJ8="N. Hulkenberg",18,0)+IF(Blad4!AL8="D. Ricciardo",19,0)+IF(Blad4!AL8="N. Hulkenberg",19,0)+IF(Blad4!AN8="D. Ricciardo",20,0)+IF(Blad4!AN8="N. Hulkenberg",20,0))/2</f>
        <v>5.5</v>
      </c>
      <c r="AI12" s="680">
        <f>(IF(Blad4!B9="D. Ricciardo",1,0)+IF(Blad4!B9="N. Hulkenberg",1,0)+IF(Blad4!D9="D. Ricciardo",2,0)+IF(Blad4!D9="N. Hulkenberg",2,0)+IF(Blad4!F9="D. Ricciardo",3,0)+IF(Blad4!F9="N. Hulkenberg",3,0)+IF(Blad4!H9="D. Ricciardo",4,0)+IF(Blad4!H9="N. Hulkenberg",4,0)+IF(Blad4!J9="D. Ricciardo",5,0)+IF(Blad4!J9="N. Hulkenberg",5,0)+IF(Blad4!L9="D. Ricciardo",6,0)+IF(Blad4!L9="N. Hulkenberg",6,0)+IF(Blad4!N9="D. Ricciardo",7,0)+IF(Blad4!N9="N. Hulkenberg",7,0)+IF(Blad4!P9="D. Ricciardo",8,0)+IF(Blad4!P9="N. Hulkenberg",8,0)+IF(Blad4!R9="D. Ricciardo",9,0)+IF(Blad4!R9="N. Hulkenberg",9,0)+IF(Blad4!T9="D. Ricciardo",10,0)+IF(Blad4!T9="N. Hulkenberg",10,0)+IF(Blad4!V9="D. Ricciardo",11,0)+IF(Blad4!V9="N. Hulkenberg",11,0)+IF(Blad4!X9="D. Ricciardo",12,0)+IF(Blad4!X9="N. Hulkenberg",12,0)+IF(Blad4!Z9="D. Ricciardo",13,0)+IF(Blad4!Z9="N. Hulkenberg",13,0)+IF(Blad4!AB9="D. Ricciardo",14,0)+IF(Blad4!AB9="N. Hulkenberg",14,0)+IF(Blad4!AD9="D. Ricciardo",15,0)+IF(Blad4!AD9="N. Hulkenberg",15,0)+IF(Blad4!AF9="D. Ricciardo",16,0)+IF(Blad4!AF9="N. Hulkenberg",16,0)+IF(Blad4!AH9="D. Ricciardo",17,0)+IF(Blad4!AH9="N. Hulkenberg",17,0)+IF(Blad4!AJ9="D. Ricciardo",18,0)+IF(Blad4!AJ9="N. Hulkenberg",18,0)+IF(Blad4!AL9="D. Ricciardo",19,0)+IF(Blad4!AL9="N. Hulkenberg",19,0)+IF(Blad4!AN9="D. Ricciardo",20,0)+IF(Blad4!AN9="N. Hulkenberg",20,0))/2</f>
        <v>10.5</v>
      </c>
      <c r="AJ12" s="680">
        <f>(IF(Blad4!B10="D. Ricciardo",1,0)+IF(Blad4!B10="N. Hulkenberg",1,0)+IF(Blad4!D10="D. Ricciardo",2,0)+IF(Blad4!D10="N. Hulkenberg",2,0)+IF(Blad4!F10="D. Ricciardo",3,0)+IF(Blad4!F10="N. Hulkenberg",3,0)+IF(Blad4!H10="D. Ricciardo",4,0)+IF(Blad4!H10="N. Hulkenberg",4,0)+IF(Blad4!J10="D. Ricciardo",5,0)+IF(Blad4!J10="N. Hulkenberg",5,0)+IF(Blad4!L10="D. Ricciardo",6,0)+IF(Blad4!L10="N. Hulkenberg",6,0)+IF(Blad4!N10="D. Ricciardo",7,0)+IF(Blad4!N10="N. Hulkenberg",7,0)+IF(Blad4!P10="D. Ricciardo",8,0)+IF(Blad4!P10="N. Hulkenberg",8,0)+IF(Blad4!R10="D. Ricciardo",9,0)+IF(Blad4!R10="N. Hulkenberg",9,0)+IF(Blad4!T10="D. Ricciardo",10,0)+IF(Blad4!T10="N. Hulkenberg",10,0)+IF(Blad4!V10="D. Ricciardo",11,0)+IF(Blad4!V10="N. Hulkenberg",11,0)+IF(Blad4!X10="D. Ricciardo",12,0)+IF(Blad4!X10="N. Hulkenberg",12,0)+IF(Blad4!Z10="D. Ricciardo",13,0)+IF(Blad4!Z10="N. Hulkenberg",13,0)+IF(Blad4!AB10="D. Ricciardo",14,0)+IF(Blad4!AB10="N. Hulkenberg",14,0)+IF(Blad4!AD10="D. Ricciardo",15,0)+IF(Blad4!AD10="N. Hulkenberg",15,0)+IF(Blad4!AF10="D. Ricciardo",16,0)+IF(Blad4!AF10="N. Hulkenberg",16,0)+IF(Blad4!AH10="D. Ricciardo",17,0)+IF(Blad4!AH10="N. Hulkenberg",17,0)+IF(Blad4!AJ10="D. Ricciardo",18,0)+IF(Blad4!AJ10="N. Hulkenberg",18,0)+IF(Blad4!AL10="D. Ricciardo",19,0)+IF(Blad4!AL10="N. Hulkenberg",19,0)+IF(Blad4!AN10="D. Ricciardo",20,0)+IF(Blad4!AN10="N. Hulkenberg",20,0))/2</f>
        <v>13.5</v>
      </c>
      <c r="AK12" s="680">
        <f>(IF(Blad4!B11="D. Ricciardo",1,0)+IF(Blad4!B11="N. Hulkenberg",1,0)+IF(Blad4!D11="D. Ricciardo",2,0)+IF(Blad4!D11="N. Hulkenberg",2,0)+IF(Blad4!F11="D. Ricciardo",3,0)+IF(Blad4!F11="N. Hulkenberg",3,0)+IF(Blad4!H11="D. Ricciardo",4,0)+IF(Blad4!H11="N. Hulkenberg",4,0)+IF(Blad4!J11="D. Ricciardo",5,0)+IF(Blad4!J11="N. Hulkenberg",5,0)+IF(Blad4!L11="D. Ricciardo",6,0)+IF(Blad4!L11="N. Hulkenberg",6,0)+IF(Blad4!N11="D. Ricciardo",7,0)+IF(Blad4!N11="N. Hulkenberg",7,0)+IF(Blad4!P11="D. Ricciardo",8,0)+IF(Blad4!P11="N. Hulkenberg",8,0)+IF(Blad4!R11="D. Ricciardo",9,0)+IF(Blad4!R11="N. Hulkenberg",9,0)+IF(Blad4!T11="D. Ricciardo",10,0)+IF(Blad4!T11="N. Hulkenberg",10,0)+IF(Blad4!V11="D. Ricciardo",11,0)+IF(Blad4!V11="N. Hulkenberg",11,0)+IF(Blad4!X11="D. Ricciardo",12,0)+IF(Blad4!X11="N. Hulkenberg",12,0)+IF(Blad4!Z11="D. Ricciardo",13,0)+IF(Blad4!Z11="N. Hulkenberg",13,0)+IF(Blad4!AB11="D. Ricciardo",14,0)+IF(Blad4!AB11="N. Hulkenberg",14,0)+IF(Blad4!AD11="D. Ricciardo",15,0)+IF(Blad4!AD11="N. Hulkenberg",15,0)+IF(Blad4!AF11="D. Ricciardo",16,0)+IF(Blad4!AF11="N. Hulkenberg",16,0)+IF(Blad4!AH11="D. Ricciardo",17,0)+IF(Blad4!AH11="N. Hulkenberg",17,0)+IF(Blad4!AJ11="D. Ricciardo",18,0)+IF(Blad4!AJ11="N. Hulkenberg",18,0)+IF(Blad4!AL11="D. Ricciardo",19,0)+IF(Blad4!AL11="N. Hulkenberg",19,0)+IF(Blad4!AN11="D. Ricciardo",20,0)+IF(Blad4!AN11="N. Hulkenberg",20,0))/2</f>
        <v>8.5</v>
      </c>
      <c r="AL12" s="680">
        <f>(IF(Blad4!B12="D. Ricciardo",1,0)+IF(Blad4!B12="N. Hulkenberg",1,0)+IF(Blad4!D12="D. Ricciardo",2,0)+IF(Blad4!D12="N. Hulkenberg",2,0)+IF(Blad4!F12="D. Ricciardo",3,0)+IF(Blad4!F12="N. Hulkenberg",3,0)+IF(Blad4!H12="D. Ricciardo",4,0)+IF(Blad4!H12="N. Hulkenberg",4,0)+IF(Blad4!J12="D. Ricciardo",5,0)+IF(Blad4!J12="N. Hulkenberg",5,0)+IF(Blad4!L12="D. Ricciardo",6,0)+IF(Blad4!L12="N. Hulkenberg",6,0)+IF(Blad4!N12="D. Ricciardo",7,0)+IF(Blad4!N12="N. Hulkenberg",7,0)+IF(Blad4!P12="D. Ricciardo",8,0)+IF(Blad4!P12="N. Hulkenberg",8,0)+IF(Blad4!R12="D. Ricciardo",9,0)+IF(Blad4!R12="N. Hulkenberg",9,0)+IF(Blad4!T12="D. Ricciardo",10,0)+IF(Blad4!T12="N. Hulkenberg",10,0)+IF(Blad4!V12="D. Ricciardo",11,0)+IF(Blad4!V12="N. Hulkenberg",11,0)+IF(Blad4!X12="D. Ricciardo",12,0)+IF(Blad4!X12="N. Hulkenberg",12,0)+IF(Blad4!Z12="D. Ricciardo",13,0)+IF(Blad4!Z12="N. Hulkenberg",13,0)+IF(Blad4!AB12="D. Ricciardo",14,0)+IF(Blad4!AB12="N. Hulkenberg",14,0)+IF(Blad4!AD12="D. Ricciardo",15,0)+IF(Blad4!AD12="N. Hulkenberg",15,0)+IF(Blad4!AF12="D. Ricciardo",16,0)+IF(Blad4!AF12="N. Hulkenberg",16,0)+IF(Blad4!AH12="D. Ricciardo",17,0)+IF(Blad4!AH12="N. Hulkenberg",17,0)+IF(Blad4!AJ12="D. Ricciardo",18,0)+IF(Blad4!AJ12="N. Hulkenberg",18,0)+IF(Blad4!AL12="D. Ricciardo",19,0)+IF(Blad4!AL12="N. Hulkenberg",19,0)+IF(Blad4!AN12="D. Ricciardo",20,0)+IF(Blad4!AN12="N. Hulkenberg",20,0))/2</f>
        <v>11</v>
      </c>
      <c r="AM12" s="680">
        <f>(IF(Blad4!B13="D. Ricciardo",1,0)+IF(Blad4!B13="N. Hulkenberg",1,0)+IF(Blad4!D13="D. Ricciardo",2,0)+IF(Blad4!D13="N. Hulkenberg",2,0)+IF(Blad4!F13="D. Ricciardo",3,0)+IF(Blad4!F13="N. Hulkenberg",3,0)+IF(Blad4!H13="D. Ricciardo",4,0)+IF(Blad4!H13="N. Hulkenberg",4,0)+IF(Blad4!J13="D. Ricciardo",5,0)+IF(Blad4!J13="N. Hulkenberg",5,0)+IF(Blad4!L13="D. Ricciardo",6,0)+IF(Blad4!L13="N. Hulkenberg",6,0)+IF(Blad4!N13="D. Ricciardo",7,0)+IF(Blad4!N13="N. Hulkenberg",7,0)+IF(Blad4!P13="D. Ricciardo",8,0)+IF(Blad4!P13="N. Hulkenberg",8,0)+IF(Blad4!R13="D. Ricciardo",9,0)+IF(Blad4!R13="N. Hulkenberg",9,0)+IF(Blad4!T13="D. Ricciardo",10,0)+IF(Blad4!T13="N. Hulkenberg",10,0)+IF(Blad4!V13="D. Ricciardo",11,0)+IF(Blad4!V13="N. Hulkenberg",11,0)+IF(Blad4!X13="D. Ricciardo",12,0)+IF(Blad4!X13="N. Hulkenberg",12,0)+IF(Blad4!Z13="D. Ricciardo",13,0)+IF(Blad4!Z13="N. Hulkenberg",13,0)+IF(Blad4!AB13="D. Ricciardo",14,0)+IF(Blad4!AB13="N. Hulkenberg",14,0)+IF(Blad4!AD13="D. Ricciardo",15,0)+IF(Blad4!AD13="N. Hulkenberg",15,0)+IF(Blad4!AF13="D. Ricciardo",16,0)+IF(Blad4!AF13="N. Hulkenberg",16,0)+IF(Blad4!AH13="D. Ricciardo",17,0)+IF(Blad4!AH13="N. Hulkenberg",17,0)+IF(Blad4!AJ13="D. Ricciardo",18,0)+IF(Blad4!AJ13="N. Hulkenberg",18,0)+IF(Blad4!AL13="D. Ricciardo",19,0)+IF(Blad4!AL13="N. Hulkenberg",19,0)+IF(Blad4!AN13="D. Ricciardo",20,0)+IF(Blad4!AN13="N. Hulkenberg",20,0))/2</f>
        <v>15.5</v>
      </c>
      <c r="AN12" s="680">
        <f>(IF(Blad4!B14="D. Ricciardo",1,0)+IF(Blad4!B14="N. Hulkenberg",1,0)+IF(Blad4!D14="D. Ricciardo",2,0)+IF(Blad4!D14="N. Hulkenberg",2,0)+IF(Blad4!F14="D. Ricciardo",3,0)+IF(Blad4!F14="N. Hulkenberg",3,0)+IF(Blad4!H14="D. Ricciardo",4,0)+IF(Blad4!H14="N. Hulkenberg",4,0)+IF(Blad4!J14="D. Ricciardo",5,0)+IF(Blad4!J14="N. Hulkenberg",5,0)+IF(Blad4!L14="D. Ricciardo",6,0)+IF(Blad4!L14="N. Hulkenberg",6,0)+IF(Blad4!N14="D. Ricciardo",7,0)+IF(Blad4!N14="N. Hulkenberg",7,0)+IF(Blad4!P14="D. Ricciardo",8,0)+IF(Blad4!P14="N. Hulkenberg",8,0)+IF(Blad4!R14="D. Ricciardo",9,0)+IF(Blad4!R14="N. Hulkenberg",9,0)+IF(Blad4!T14="D. Ricciardo",10,0)+IF(Blad4!T14="N. Hulkenberg",10,0)+IF(Blad4!V14="D. Ricciardo",11,0)+IF(Blad4!V14="N. Hulkenberg",11,0)+IF(Blad4!X14="D. Ricciardo",12,0)+IF(Blad4!X14="N. Hulkenberg",12,0)+IF(Blad4!Z14="D. Ricciardo",13,0)+IF(Blad4!Z14="N. Hulkenberg",13,0)+IF(Blad4!AB14="D. Ricciardo",14,0)+IF(Blad4!AB14="N. Hulkenberg",14,0)+IF(Blad4!AD14="D. Ricciardo",15,0)+IF(Blad4!AD14="N. Hulkenberg",15,0)+IF(Blad4!AF14="D. Ricciardo",16,0)+IF(Blad4!AF14="N. Hulkenberg",16,0)+IF(Blad4!AH14="D. Ricciardo",17,0)+IF(Blad4!AH14="N. Hulkenberg",17,0)+IF(Blad4!AJ14="D. Ricciardo",18,0)+IF(Blad4!AJ14="N. Hulkenberg",18,0)+IF(Blad4!AL14="D. Ricciardo",19,0)+IF(Blad4!AL14="N. Hulkenberg",19,0)+IF(Blad4!AN14="D. Ricciardo",20,0)+IF(Blad4!AN14="N. Hulkenberg",20,0))/2</f>
        <v>11</v>
      </c>
      <c r="AO12" s="680">
        <f>(IF(Blad4!B15="D. Ricciardo",1,0)+IF(Blad4!B15="N. Hulkenberg",1,0)+IF(Blad4!D15="D. Ricciardo",2,0)+IF(Blad4!D15="N. Hulkenberg",2,0)+IF(Blad4!F15="D. Ricciardo",3,0)+IF(Blad4!F15="N. Hulkenberg",3,0)+IF(Blad4!H15="D. Ricciardo",4,0)+IF(Blad4!H15="N. Hulkenberg",4,0)+IF(Blad4!J15="D. Ricciardo",5,0)+IF(Blad4!J15="N. Hulkenberg",5,0)+IF(Blad4!L15="D. Ricciardo",6,0)+IF(Blad4!L15="N. Hulkenberg",6,0)+IF(Blad4!N15="D. Ricciardo",7,0)+IF(Blad4!N15="N. Hulkenberg",7,0)+IF(Blad4!P15="D. Ricciardo",8,0)+IF(Blad4!P15="N. Hulkenberg",8,0)+IF(Blad4!R15="D. Ricciardo",9,0)+IF(Blad4!R15="N. Hulkenberg",9,0)+IF(Blad4!T15="D. Ricciardo",10,0)+IF(Blad4!T15="N. Hulkenberg",10,0)+IF(Blad4!V15="D. Ricciardo",11,0)+IF(Blad4!V15="N. Hulkenberg",11,0)+IF(Blad4!X15="D. Ricciardo",12,0)+IF(Blad4!X15="N. Hulkenberg",12,0)+IF(Blad4!Z15="D. Ricciardo",13,0)+IF(Blad4!Z15="N. Hulkenberg",13,0)+IF(Blad4!AB15="D. Ricciardo",14,0)+IF(Blad4!AB15="N. Hulkenberg",14,0)+IF(Blad4!AD15="D. Ricciardo",15,0)+IF(Blad4!AD15="N. Hulkenberg",15,0)+IF(Blad4!AF15="D. Ricciardo",16,0)+IF(Blad4!AF15="N. Hulkenberg",16,0)+IF(Blad4!AH15="D. Ricciardo",17,0)+IF(Blad4!AH15="N. Hulkenberg",17,0)+IF(Blad4!AJ15="D. Ricciardo",18,0)+IF(Blad4!AJ15="N. Hulkenberg",18,0)+IF(Blad4!AL15="D. Ricciardo",19,0)+IF(Blad4!AL15="N. Hulkenberg",19,0)+IF(Blad4!AN15="D. Ricciardo",20,0)+IF(Blad4!AN15="N. Hulkenberg",20,0))/2</f>
        <v>5.5</v>
      </c>
      <c r="AP12" s="680"/>
      <c r="AQ12" s="680"/>
      <c r="AR12" s="680"/>
      <c r="AS12" s="680"/>
      <c r="AT12" s="680"/>
      <c r="AU12" s="680"/>
      <c r="AV12" s="681"/>
    </row>
    <row r="13" spans="3:48" x14ac:dyDescent="0.2">
      <c r="AA13" s="669" t="s">
        <v>427</v>
      </c>
      <c r="AB13" s="679">
        <f>(IF(Blad4!B2="R. Grosjean",1,0)+IF(Blad4!B2="K. Magnussen",1,0)+IF(Blad4!D2="R. Grosjean",2,0)+IF(Blad4!D2="K. Magnussen",2,0)+IF(Blad4!F2="R. Grosjean",3,0)+IF(Blad4!F2="K. Magnussen",3,0)+IF(Blad4!H2="R. Grosjean",4,0)+IF(Blad4!H2="K. Magnussen",4,0)+IF(Blad4!J2="R. Grosjean",5,0)+IF(Blad4!J2="K. Magnussen",5,0)+IF(Blad4!L2="R. Grosjean",6,0)+IF(Blad4!L2="K. Magnussen",6,0)+IF(Blad4!N2="R. Grosjean",7,0)+IF(Blad4!N2="K. Magnussen",7,0)+IF(Blad4!P2="R. Grosjean",8,0)+IF(Blad4!P2="K. Magnussen",8,0)+IF(Blad4!R2="R. Grosjean",9,0)+IF(Blad4!R2="K. Magnussen",9,0)+IF(Blad4!T2="R. Grosjean",10,0)+IF(Blad4!T2="K. Magnussen",10,0)+IF(Blad4!V2="R. Grosjean",11,0)+IF(Blad4!V2="K. Magnussen",11,0)+IF(Blad4!X2="R. Grosjean",12,0)+IF(Blad4!X2="K. Magnussen",12,0)+IF(Blad4!Z2="R. Grosjean",13,0)+IF(Blad4!Z2="K. Magnussen",13,0)+IF(Blad4!AB2="R. Grosjean",14,0)+IF(Blad4!AB2="K. Magnussen",14,0)+IF(Blad4!AD2="R. Grosjean",15,0)+IF(Blad4!AD2="K. Magnussen",15,0)+IF(Blad4!AF2="R. Grosjean",16,0)+IF(Blad4!AF2="K. Magnussen",16,0)+IF(Blad4!AH2="R. Grosjean",17,0)+IF(Blad4!AH2="K. Magnussen",17,0)+IF(Blad4!AJ2="R. Grosjean",18,0)+IF(Blad4!AJ2="K. Magnussen",18,0)+IF(Blad4!AL2="R. Grosjean",19,0)+IF(Blad4!AL2="K. Magnussen",19,0)+IF(Blad4!AN2="R. Grosjean",20,0)+IF(Blad4!AN2="K. Magnussen",20,0))/2</f>
        <v>6.5</v>
      </c>
      <c r="AC13" s="680">
        <f>(IF(Blad4!B3="R. Grosjean",1,0)+IF(Blad4!B3="K. Magnussen",1,0)+IF(Blad4!D3="R. Grosjean",2,0)+IF(Blad4!D3="K. Magnussen",2,0)+IF(Blad4!F3="R. Grosjean",3,0)+IF(Blad4!F3="K. Magnussen",3,0)+IF(Blad4!H3="R. Grosjean",4,0)+IF(Blad4!H3="K. Magnussen",4,0)+IF(Blad4!J3="R. Grosjean",5,0)+IF(Blad4!J3="K. Magnussen",5,0)+IF(Blad4!L3="R. Grosjean",6,0)+IF(Blad4!L3="K. Magnussen",6,0)+IF(Blad4!N3="R. Grosjean",7,0)+IF(Blad4!N3="K. Magnussen",7,0)+IF(Blad4!P3="R. Grosjean",8,0)+IF(Blad4!P3="K. Magnussen",8,0)+IF(Blad4!R3="R. Grosjean",9,0)+IF(Blad4!R3="K. Magnussen",9,0)+IF(Blad4!T3="R. Grosjean",10,0)+IF(Blad4!T3="K. Magnussen",10,0)+IF(Blad4!V3="R. Grosjean",11,0)+IF(Blad4!V3="K. Magnussen",11,0)+IF(Blad4!X3="R. Grosjean",12,0)+IF(Blad4!X3="K. Magnussen",12,0)+IF(Blad4!Z3="R. Grosjean",13,0)+IF(Blad4!Z3="K. Magnussen",13,0)+IF(Blad4!AB3="R. Grosjean",14,0)+IF(Blad4!AB3="K. Magnussen",14,0)+IF(Blad4!AD3="R. Grosjean",15,0)+IF(Blad4!AD3="K. Magnussen",15,0)+IF(Blad4!AF3="R. Grosjean",16,0)+IF(Blad4!AF3="K. Magnussen",16,0)+IF(Blad4!AH3="R. Grosjean",17,0)+IF(Blad4!AH3="K. Magnussen",17,0)+IF(Blad4!AJ3="R. Grosjean",18,0)+IF(Blad4!AJ3="K. Magnussen",18,0)+IF(Blad4!AL3="R. Grosjean",19,0)+IF(Blad4!AL3="K. Magnussen",19,0)+IF(Blad4!AN3="R. Grosjean",20,0)+IF(Blad4!AN3="K. Magnussen",20,0))/2</f>
        <v>8.5</v>
      </c>
      <c r="AD13" s="680">
        <f>(IF(Blad4!B4="R. Grosjean",1,0)+IF(Blad4!B4="K. Magnussen",1,0)+IF(Blad4!D4="R. Grosjean",2,0)+IF(Blad4!D4="K. Magnussen",2,0)+IF(Blad4!F4="R. Grosjean",3,0)+IF(Blad4!F4="K. Magnussen",3,0)+IF(Blad4!H4="R. Grosjean",4,0)+IF(Blad4!H4="K. Magnussen",4,0)+IF(Blad4!J4="R. Grosjean",5,0)+IF(Blad4!J4="K. Magnussen",5,0)+IF(Blad4!L4="R. Grosjean",6,0)+IF(Blad4!L4="K. Magnussen",6,0)+IF(Blad4!N4="R. Grosjean",7,0)+IF(Blad4!N4="K. Magnussen",7,0)+IF(Blad4!P4="R. Grosjean",8,0)+IF(Blad4!P4="K. Magnussen",8,0)+IF(Blad4!R4="R. Grosjean",9,0)+IF(Blad4!R4="K. Magnussen",9,0)+IF(Blad4!T4="R. Grosjean",10,0)+IF(Blad4!T4="K. Magnussen",10,0)+IF(Blad4!V4="R. Grosjean",11,0)+IF(Blad4!V4="K. Magnussen",11,0)+IF(Blad4!X4="R. Grosjean",12,0)+IF(Blad4!X4="K. Magnussen",12,0)+IF(Blad4!Z4="R. Grosjean",13,0)+IF(Blad4!Z4="K. Magnussen",13,0)+IF(Blad4!AB4="R. Grosjean",14,0)+IF(Blad4!AB4="K. Magnussen",14,0)+IF(Blad4!AD4="R. Grosjean",15,0)+IF(Blad4!AD4="K. Magnussen",15,0)+IF(Blad4!AF4="R. Grosjean",16,0)+IF(Blad4!AF4="K. Magnussen",16,0)+IF(Blad4!AH4="R. Grosjean",17,0)+IF(Blad4!AH4="K. Magnussen",17,0)+IF(Blad4!AJ4="R. Grosjean",18,0)+IF(Blad4!AJ4="K. Magnussen",18,0)+IF(Blad4!AL4="R. Grosjean",19,0)+IF(Blad4!AL4="K. Magnussen",19,0)+IF(Blad4!AN4="R. Grosjean",20,0)+IF(Blad4!AN4="K. Magnussen",20,0))/2</f>
        <v>9.5</v>
      </c>
      <c r="AE13" s="680">
        <f>(IF(Blad4!B5="R. Grosjean",1,0)+IF(Blad4!B5="K. Magnussen",1,0)+IF(Blad4!D5="R. Grosjean",2,0)+IF(Blad4!D5="K. Magnussen",2,0)+IF(Blad4!F5="R. Grosjean",3,0)+IF(Blad4!F5="K. Magnussen",3,0)+IF(Blad4!H5="R. Grosjean",4,0)+IF(Blad4!H5="K. Magnussen",4,0)+IF(Blad4!J5="R. Grosjean",5,0)+IF(Blad4!J5="K. Magnussen",5,0)+IF(Blad4!L5="R. Grosjean",6,0)+IF(Blad4!L5="K. Magnussen",6,0)+IF(Blad4!N5="R. Grosjean",7,0)+IF(Blad4!N5="K. Magnussen",7,0)+IF(Blad4!P5="R. Grosjean",8,0)+IF(Blad4!P5="K. Magnussen",8,0)+IF(Blad4!R5="R. Grosjean",9,0)+IF(Blad4!R5="K. Magnussen",9,0)+IF(Blad4!T5="R. Grosjean",10,0)+IF(Blad4!T5="K. Magnussen",10,0)+IF(Blad4!V5="R. Grosjean",11,0)+IF(Blad4!V5="K. Magnussen",11,0)+IF(Blad4!X5="R. Grosjean",12,0)+IF(Blad4!X5="K. Magnussen",12,0)+IF(Blad4!Z5="R. Grosjean",13,0)+IF(Blad4!Z5="K. Magnussen",13,0)+IF(Blad4!AB5="R. Grosjean",14,0)+IF(Blad4!AB5="K. Magnussen",14,0)+IF(Blad4!AD5="R. Grosjean",15,0)+IF(Blad4!AD5="K. Magnussen",15,0)+IF(Blad4!AF5="R. Grosjean",16,0)+IF(Blad4!AF5="K. Magnussen",16,0)+IF(Blad4!AH5="R. Grosjean",17,0)+IF(Blad4!AH5="K. Magnussen",17,0)+IF(Blad4!AJ5="R. Grosjean",18,0)+IF(Blad4!AJ5="K. Magnussen",18,0)+IF(Blad4!AL5="R. Grosjean",19,0)+IF(Blad4!AL5="K. Magnussen",19,0)+IF(Blad4!AN5="R. Grosjean",20,0)+IF(Blad4!AN5="K. Magnussen",20,0))/2</f>
        <v>13</v>
      </c>
      <c r="AF13" s="680">
        <f>(IF(Blad4!B6="R. Grosjean",1,0)+IF(Blad4!B6="K. Magnussen",1,0)+IF(Blad4!D6="R. Grosjean",2,0)+IF(Blad4!D6="K. Magnussen",2,0)+IF(Blad4!F6="R. Grosjean",3,0)+IF(Blad4!F6="K. Magnussen",3,0)+IF(Blad4!H6="R. Grosjean",4,0)+IF(Blad4!H6="K. Magnussen",4,0)+IF(Blad4!J6="R. Grosjean",5,0)+IF(Blad4!J6="K. Magnussen",5,0)+IF(Blad4!L6="R. Grosjean",6,0)+IF(Blad4!L6="K. Magnussen",6,0)+IF(Blad4!N6="R. Grosjean",7,0)+IF(Blad4!N6="K. Magnussen",7,0)+IF(Blad4!P6="R. Grosjean",8,0)+IF(Blad4!P6="K. Magnussen",8,0)+IF(Blad4!R6="R. Grosjean",9,0)+IF(Blad4!R6="K. Magnussen",9,0)+IF(Blad4!T6="R. Grosjean",10,0)+IF(Blad4!T6="K. Magnussen",10,0)+IF(Blad4!V6="R. Grosjean",11,0)+IF(Blad4!V6="K. Magnussen",11,0)+IF(Blad4!X6="R. Grosjean",12,0)+IF(Blad4!X6="K. Magnussen",12,0)+IF(Blad4!Z6="R. Grosjean",13,0)+IF(Blad4!Z6="K. Magnussen",13,0)+IF(Blad4!AB6="R. Grosjean",14,0)+IF(Blad4!AB6="K. Magnussen",14,0)+IF(Blad4!AD6="R. Grosjean",15,0)+IF(Blad4!AD6="K. Magnussen",15,0)+IF(Blad4!AF6="R. Grosjean",16,0)+IF(Blad4!AF6="K. Magnussen",16,0)+IF(Blad4!AH6="R. Grosjean",17,0)+IF(Blad4!AH6="K. Magnussen",17,0)+IF(Blad4!AJ6="R. Grosjean",18,0)+IF(Blad4!AJ6="K. Magnussen",18,0)+IF(Blad4!AL6="R. Grosjean",19,0)+IF(Blad4!AL6="K. Magnussen",19,0)+IF(Blad4!AN6="R. Grosjean",20,0)+IF(Blad4!AN6="K. Magnussen",20,0))/2</f>
        <v>7.5</v>
      </c>
      <c r="AG13" s="680">
        <f>(IF(Blad4!B7="R. Grosjean",1,0)+IF(Blad4!B7="K. Magnussen",1,0)+IF(Blad4!D7="R. Grosjean",2,0)+IF(Blad4!D7="K. Magnussen",2,0)+IF(Blad4!F7="R. Grosjean",3,0)+IF(Blad4!F7="K. Magnussen",3,0)+IF(Blad4!H7="R. Grosjean",4,0)+IF(Blad4!H7="K. Magnussen",4,0)+IF(Blad4!J7="R. Grosjean",5,0)+IF(Blad4!J7="K. Magnussen",5,0)+IF(Blad4!L7="R. Grosjean",6,0)+IF(Blad4!L7="K. Magnussen",6,0)+IF(Blad4!N7="R. Grosjean",7,0)+IF(Blad4!N7="K. Magnussen",7,0)+IF(Blad4!P7="R. Grosjean",8,0)+IF(Blad4!P7="K. Magnussen",8,0)+IF(Blad4!R7="R. Grosjean",9,0)+IF(Blad4!R7="K. Magnussen",9,0)+IF(Blad4!T7="R. Grosjean",10,0)+IF(Blad4!T7="K. Magnussen",10,0)+IF(Blad4!V7="R. Grosjean",11,0)+IF(Blad4!V7="K. Magnussen",11,0)+IF(Blad4!X7="R. Grosjean",12,0)+IF(Blad4!X7="K. Magnussen",12,0)+IF(Blad4!Z7="R. Grosjean",13,0)+IF(Blad4!Z7="K. Magnussen",13,0)+IF(Blad4!AB7="R. Grosjean",14,0)+IF(Blad4!AB7="K. Magnussen",14,0)+IF(Blad4!AD7="R. Grosjean",15,0)+IF(Blad4!AD7="K. Magnussen",15,0)+IF(Blad4!AF7="R. Grosjean",16,0)+IF(Blad4!AF7="K. Magnussen",16,0)+IF(Blad4!AH7="R. Grosjean",17,0)+IF(Blad4!AH7="K. Magnussen",17,0)+IF(Blad4!AJ7="R. Grosjean",18,0)+IF(Blad4!AJ7="K. Magnussen",18,0)+IF(Blad4!AL7="R. Grosjean",19,0)+IF(Blad4!AL7="K. Magnussen",19,0)+IF(Blad4!AN7="R. Grosjean",20,0)+IF(Blad4!AN7="K. Magnussen",20,0))/2</f>
        <v>9</v>
      </c>
      <c r="AH13" s="680">
        <f>(IF(Blad4!B8="R. Grosjean",1,0)+IF(Blad4!B8="K. Magnussen",1,0)+IF(Blad4!D8="R. Grosjean",2,0)+IF(Blad4!D8="K. Magnussen",2,0)+IF(Blad4!F8="R. Grosjean",3,0)+IF(Blad4!F8="K. Magnussen",3,0)+IF(Blad4!H8="R. Grosjean",4,0)+IF(Blad4!H8="K. Magnussen",4,0)+IF(Blad4!J8="R. Grosjean",5,0)+IF(Blad4!J8="K. Magnussen",5,0)+IF(Blad4!L8="R. Grosjean",6,0)+IF(Blad4!L8="K. Magnussen",6,0)+IF(Blad4!N8="R. Grosjean",7,0)+IF(Blad4!N8="K. Magnussen",7,0)+IF(Blad4!P8="R. Grosjean",8,0)+IF(Blad4!P8="K. Magnussen",8,0)+IF(Blad4!R8="R. Grosjean",9,0)+IF(Blad4!R8="K. Magnussen",9,0)+IF(Blad4!T8="R. Grosjean",10,0)+IF(Blad4!T8="K. Magnussen",10,0)+IF(Blad4!V8="R. Grosjean",11,0)+IF(Blad4!V8="K. Magnussen",11,0)+IF(Blad4!X8="R. Grosjean",12,0)+IF(Blad4!X8="K. Magnussen",12,0)+IF(Blad4!Z8="R. Grosjean",13,0)+IF(Blad4!Z8="K. Magnussen",13,0)+IF(Blad4!AB8="R. Grosjean",14,0)+IF(Blad4!AB8="K. Magnussen",14,0)+IF(Blad4!AD8="R. Grosjean",15,0)+IF(Blad4!AD8="K. Magnussen",15,0)+IF(Blad4!AF8="R. Grosjean",16,0)+IF(Blad4!AF8="K. Magnussen",16,0)+IF(Blad4!AH8="R. Grosjean",17,0)+IF(Blad4!AH8="K. Magnussen",17,0)+IF(Blad4!AJ8="R. Grosjean",18,0)+IF(Blad4!AJ8="K. Magnussen",18,0)+IF(Blad4!AL8="R. Grosjean",19,0)+IF(Blad4!AL8="K. Magnussen",19,0)+IF(Blad4!AN8="R. Grosjean",20,0)+IF(Blad4!AN8="K. Magnussen",20,0))/2</f>
        <v>17</v>
      </c>
      <c r="AI13" s="680">
        <f>(IF(Blad4!B9="R. Grosjean",1,0)+IF(Blad4!B9="K. Magnussen",1,0)+IF(Blad4!D9="R. Grosjean",2,0)+IF(Blad4!D9="K. Magnussen",2,0)+IF(Blad4!F9="R. Grosjean",3,0)+IF(Blad4!F9="K. Magnussen",3,0)+IF(Blad4!H9="R. Grosjean",4,0)+IF(Blad4!H9="K. Magnussen",4,0)+IF(Blad4!J9="R. Grosjean",5,0)+IF(Blad4!J9="K. Magnussen",5,0)+IF(Blad4!L9="R. Grosjean",6,0)+IF(Blad4!L9="K. Magnussen",6,0)+IF(Blad4!N9="R. Grosjean",7,0)+IF(Blad4!N9="K. Magnussen",7,0)+IF(Blad4!P9="R. Grosjean",8,0)+IF(Blad4!P9="K. Magnussen",8,0)+IF(Blad4!R9="R. Grosjean",9,0)+IF(Blad4!R9="K. Magnussen",9,0)+IF(Blad4!T9="R. Grosjean",10,0)+IF(Blad4!T9="K. Magnussen",10,0)+IF(Blad4!V9="R. Grosjean",11,0)+IF(Blad4!V9="K. Magnussen",11,0)+IF(Blad4!X9="R. Grosjean",12,0)+IF(Blad4!X9="K. Magnussen",12,0)+IF(Blad4!Z9="R. Grosjean",13,0)+IF(Blad4!Z9="K. Magnussen",13,0)+IF(Blad4!AB9="R. Grosjean",14,0)+IF(Blad4!AB9="K. Magnussen",14,0)+IF(Blad4!AD9="R. Grosjean",15,0)+IF(Blad4!AD9="K. Magnussen",15,0)+IF(Blad4!AF9="R. Grosjean",16,0)+IF(Blad4!AF9="K. Magnussen",16,0)+IF(Blad4!AH9="R. Grosjean",17,0)+IF(Blad4!AH9="K. Magnussen",17,0)+IF(Blad4!AJ9="R. Grosjean",18,0)+IF(Blad4!AJ9="K. Magnussen",18,0)+IF(Blad4!AL9="R. Grosjean",19,0)+IF(Blad4!AL9="K. Magnussen",19,0)+IF(Blad4!AN9="R. Grosjean",20,0)+IF(Blad4!AN9="K. Magnussen",20,0))/2</f>
        <v>15.5</v>
      </c>
      <c r="AJ13" s="680">
        <f>(IF(Blad4!B10="R. Grosjean",1,0)+IF(Blad4!B10="K. Magnussen",1,0)+IF(Blad4!D10="R. Grosjean",2,0)+IF(Blad4!D10="K. Magnussen",2,0)+IF(Blad4!F10="R. Grosjean",3,0)+IF(Blad4!F10="K. Magnussen",3,0)+IF(Blad4!H10="R. Grosjean",4,0)+IF(Blad4!H10="K. Magnussen",4,0)+IF(Blad4!J10="R. Grosjean",5,0)+IF(Blad4!J10="K. Magnussen",5,0)+IF(Blad4!L10="R. Grosjean",6,0)+IF(Blad4!L10="K. Magnussen",6,0)+IF(Blad4!N10="R. Grosjean",7,0)+IF(Blad4!N10="K. Magnussen",7,0)+IF(Blad4!P10="R. Grosjean",8,0)+IF(Blad4!P10="K. Magnussen",8,0)+IF(Blad4!R10="R. Grosjean",9,0)+IF(Blad4!R10="K. Magnussen",9,0)+IF(Blad4!T10="R. Grosjean",10,0)+IF(Blad4!T10="K. Magnussen",10,0)+IF(Blad4!V10="R. Grosjean",11,0)+IF(Blad4!V10="K. Magnussen",11,0)+IF(Blad4!X10="R. Grosjean",12,0)+IF(Blad4!X10="K. Magnussen",12,0)+IF(Blad4!Z10="R. Grosjean",13,0)+IF(Blad4!Z10="K. Magnussen",13,0)+IF(Blad4!AB10="R. Grosjean",14,0)+IF(Blad4!AB10="K. Magnussen",14,0)+IF(Blad4!AD10="R. Grosjean",15,0)+IF(Blad4!AD10="K. Magnussen",15,0)+IF(Blad4!AF10="R. Grosjean",16,0)+IF(Blad4!AF10="K. Magnussen",16,0)+IF(Blad4!AH10="R. Grosjean",17,0)+IF(Blad4!AH10="K. Magnussen",17,0)+IF(Blad4!AJ10="R. Grosjean",18,0)+IF(Blad4!AJ10="K. Magnussen",18,0)+IF(Blad4!AL10="R. Grosjean",19,0)+IF(Blad4!AL10="K. Magnussen",19,0)+IF(Blad4!AN10="R. Grosjean",20,0)+IF(Blad4!AN10="K. Magnussen",20,0))/2</f>
        <v>10.5</v>
      </c>
      <c r="AK13" s="680">
        <f>(IF(Blad4!B11="R. Grosjean",1,0)+IF(Blad4!B11="K. Magnussen",1,0)+IF(Blad4!D11="R. Grosjean",2,0)+IF(Blad4!D11="K. Magnussen",2,0)+IF(Blad4!F11="R. Grosjean",3,0)+IF(Blad4!F11="K. Magnussen",3,0)+IF(Blad4!H11="R. Grosjean",4,0)+IF(Blad4!H11="K. Magnussen",4,0)+IF(Blad4!J11="R. Grosjean",5,0)+IF(Blad4!J11="K. Magnussen",5,0)+IF(Blad4!L11="R. Grosjean",6,0)+IF(Blad4!L11="K. Magnussen",6,0)+IF(Blad4!N11="R. Grosjean",7,0)+IF(Blad4!N11="K. Magnussen",7,0)+IF(Blad4!P11="R. Grosjean",8,0)+IF(Blad4!P11="K. Magnussen",8,0)+IF(Blad4!R11="R. Grosjean",9,0)+IF(Blad4!R11="K. Magnussen",9,0)+IF(Blad4!T11="R. Grosjean",10,0)+IF(Blad4!T11="K. Magnussen",10,0)+IF(Blad4!V11="R. Grosjean",11,0)+IF(Blad4!V11="K. Magnussen",11,0)+IF(Blad4!X11="R. Grosjean",12,0)+IF(Blad4!X11="K. Magnussen",12,0)+IF(Blad4!Z11="R. Grosjean",13,0)+IF(Blad4!Z11="K. Magnussen",13,0)+IF(Blad4!AB11="R. Grosjean",14,0)+IF(Blad4!AB11="K. Magnussen",14,0)+IF(Blad4!AD11="R. Grosjean",15,0)+IF(Blad4!AD11="K. Magnussen",15,0)+IF(Blad4!AF11="R. Grosjean",16,0)+IF(Blad4!AF11="K. Magnussen",16,0)+IF(Blad4!AH11="R. Grosjean",17,0)+IF(Blad4!AH11="K. Magnussen",17,0)+IF(Blad4!AJ11="R. Grosjean",18,0)+IF(Blad4!AJ11="K. Magnussen",18,0)+IF(Blad4!AL11="R. Grosjean",19,0)+IF(Blad4!AL11="K. Magnussen",19,0)+IF(Blad4!AN11="R. Grosjean",20,0)+IF(Blad4!AN11="K. Magnussen",20,0))/2</f>
        <v>15</v>
      </c>
      <c r="AL13" s="680">
        <f>(IF(Blad4!B12="R. Grosjean",1,0)+IF(Blad4!B12="K. Magnussen",1,0)+IF(Blad4!D12="R. Grosjean",2,0)+IF(Blad4!D12="K. Magnussen",2,0)+IF(Blad4!F12="R. Grosjean",3,0)+IF(Blad4!F12="K. Magnussen",3,0)+IF(Blad4!H12="R. Grosjean",4,0)+IF(Blad4!H12="K. Magnussen",4,0)+IF(Blad4!J12="R. Grosjean",5,0)+IF(Blad4!J12="K. Magnussen",5,0)+IF(Blad4!L12="R. Grosjean",6,0)+IF(Blad4!L12="K. Magnussen",6,0)+IF(Blad4!N12="R. Grosjean",7,0)+IF(Blad4!N12="K. Magnussen",7,0)+IF(Blad4!P12="R. Grosjean",8,0)+IF(Blad4!P12="K. Magnussen",8,0)+IF(Blad4!R12="R. Grosjean",9,0)+IF(Blad4!R12="K. Magnussen",9,0)+IF(Blad4!T12="R. Grosjean",10,0)+IF(Blad4!T12="K. Magnussen",10,0)+IF(Blad4!V12="R. Grosjean",11,0)+IF(Blad4!V12="K. Magnussen",11,0)+IF(Blad4!X12="R. Grosjean",12,0)+IF(Blad4!X12="K. Magnussen",12,0)+IF(Blad4!Z12="R. Grosjean",13,0)+IF(Blad4!Z12="K. Magnussen",13,0)+IF(Blad4!AB12="R. Grosjean",14,0)+IF(Blad4!AB12="K. Magnussen",14,0)+IF(Blad4!AD12="R. Grosjean",15,0)+IF(Blad4!AD12="K. Magnussen",15,0)+IF(Blad4!AF12="R. Grosjean",16,0)+IF(Blad4!AF12="K. Magnussen",16,0)+IF(Blad4!AH12="R. Grosjean",17,0)+IF(Blad4!AH12="K. Magnussen",17,0)+IF(Blad4!AJ12="R. Grosjean",18,0)+IF(Blad4!AJ12="K. Magnussen",18,0)+IF(Blad4!AL12="R. Grosjean",19,0)+IF(Blad4!AL12="K. Magnussen",19,0)+IF(Blad4!AN12="R. Grosjean",20,0)+IF(Blad4!AN12="K. Magnussen",20,0))/2</f>
        <v>9</v>
      </c>
      <c r="AM13" s="680">
        <f>(IF(Blad4!B13="R. Grosjean",1,0)+IF(Blad4!B13="K. Magnussen",1,0)+IF(Blad4!D13="R. Grosjean",2,0)+IF(Blad4!D13="K. Magnussen",2,0)+IF(Blad4!F13="R. Grosjean",3,0)+IF(Blad4!F13="K. Magnussen",3,0)+IF(Blad4!H13="R. Grosjean",4,0)+IF(Blad4!H13="K. Magnussen",4,0)+IF(Blad4!J13="R. Grosjean",5,0)+IF(Blad4!J13="K. Magnussen",5,0)+IF(Blad4!L13="R. Grosjean",6,0)+IF(Blad4!L13="K. Magnussen",6,0)+IF(Blad4!N13="R. Grosjean",7,0)+IF(Blad4!N13="K. Magnussen",7,0)+IF(Blad4!P13="R. Grosjean",8,0)+IF(Blad4!P13="K. Magnussen",8,0)+IF(Blad4!R13="R. Grosjean",9,0)+IF(Blad4!R13="K. Magnussen",9,0)+IF(Blad4!T13="R. Grosjean",10,0)+IF(Blad4!T13="K. Magnussen",10,0)+IF(Blad4!V13="R. Grosjean",11,0)+IF(Blad4!V13="K. Magnussen",11,0)+IF(Blad4!X13="R. Grosjean",12,0)+IF(Blad4!X13="K. Magnussen",12,0)+IF(Blad4!Z13="R. Grosjean",13,0)+IF(Blad4!Z13="K. Magnussen",13,0)+IF(Blad4!AB13="R. Grosjean",14,0)+IF(Blad4!AB13="K. Magnussen",14,0)+IF(Blad4!AD13="R. Grosjean",15,0)+IF(Blad4!AD13="K. Magnussen",15,0)+IF(Blad4!AF13="R. Grosjean",16,0)+IF(Blad4!AF13="K. Magnussen",16,0)+IF(Blad4!AH13="R. Grosjean",17,0)+IF(Blad4!AH13="K. Magnussen",17,0)+IF(Blad4!AJ13="R. Grosjean",18,0)+IF(Blad4!AJ13="K. Magnussen",18,0)+IF(Blad4!AL13="R. Grosjean",19,0)+IF(Blad4!AL13="K. Magnussen",19,0)+IF(Blad4!AN13="R. Grosjean",20,0)+IF(Blad4!AN13="K. Magnussen",20,0))/2</f>
        <v>11.5</v>
      </c>
      <c r="AN13" s="680">
        <f>(IF(Blad4!B14="R. Grosjean",1,0)+IF(Blad4!B14="K. Magnussen",1,0)+IF(Blad4!D14="R. Grosjean",2,0)+IF(Blad4!D14="K. Magnussen",2,0)+IF(Blad4!F14="R. Grosjean",3,0)+IF(Blad4!F14="K. Magnussen",3,0)+IF(Blad4!H14="R. Grosjean",4,0)+IF(Blad4!H14="K. Magnussen",4,0)+IF(Blad4!J14="R. Grosjean",5,0)+IF(Blad4!J14="K. Magnussen",5,0)+IF(Blad4!L14="R. Grosjean",6,0)+IF(Blad4!L14="K. Magnussen",6,0)+IF(Blad4!N14="R. Grosjean",7,0)+IF(Blad4!N14="K. Magnussen",7,0)+IF(Blad4!P14="R. Grosjean",8,0)+IF(Blad4!P14="K. Magnussen",8,0)+IF(Blad4!R14="R. Grosjean",9,0)+IF(Blad4!R14="K. Magnussen",9,0)+IF(Blad4!T14="R. Grosjean",10,0)+IF(Blad4!T14="K. Magnussen",10,0)+IF(Blad4!V14="R. Grosjean",11,0)+IF(Blad4!V14="K. Magnussen",11,0)+IF(Blad4!X14="R. Grosjean",12,0)+IF(Blad4!X14="K. Magnussen",12,0)+IF(Blad4!Z14="R. Grosjean",13,0)+IF(Blad4!Z14="K. Magnussen",13,0)+IF(Blad4!AB14="R. Grosjean",14,0)+IF(Blad4!AB14="K. Magnussen",14,0)+IF(Blad4!AD14="R. Grosjean",15,0)+IF(Blad4!AD14="K. Magnussen",15,0)+IF(Blad4!AF14="R. Grosjean",16,0)+IF(Blad4!AF14="K. Magnussen",16,0)+IF(Blad4!AH14="R. Grosjean",17,0)+IF(Blad4!AH14="K. Magnussen",17,0)+IF(Blad4!AJ14="R. Grosjean",18,0)+IF(Blad4!AJ14="K. Magnussen",18,0)+IF(Blad4!AL14="R. Grosjean",19,0)+IF(Blad4!AL14="K. Magnussen",19,0)+IF(Blad4!AN14="R. Grosjean",20,0)+IF(Blad4!AN14="K. Magnussen",20,0))/2</f>
        <v>8.5</v>
      </c>
      <c r="AO13" s="680">
        <f>(IF(Blad4!B15="R. Grosjean",1,0)+IF(Blad4!B15="K. Magnussen",1,0)+IF(Blad4!D15="R. Grosjean",2,0)+IF(Blad4!D15="K. Magnussen",2,0)+IF(Blad4!F15="R. Grosjean",3,0)+IF(Blad4!F15="K. Magnussen",3,0)+IF(Blad4!H15="R. Grosjean",4,0)+IF(Blad4!H15="K. Magnussen",4,0)+IF(Blad4!J15="R. Grosjean",5,0)+IF(Blad4!J15="K. Magnussen",5,0)+IF(Blad4!L15="R. Grosjean",6,0)+IF(Blad4!L15="K. Magnussen",6,0)+IF(Blad4!N15="R. Grosjean",7,0)+IF(Blad4!N15="K. Magnussen",7,0)+IF(Blad4!P15="R. Grosjean",8,0)+IF(Blad4!P15="K. Magnussen",8,0)+IF(Blad4!R15="R. Grosjean",9,0)+IF(Blad4!R15="K. Magnussen",9,0)+IF(Blad4!T15="R. Grosjean",10,0)+IF(Blad4!T15="K. Magnussen",10,0)+IF(Blad4!V15="R. Grosjean",11,0)+IF(Blad4!V15="K. Magnussen",11,0)+IF(Blad4!X15="R. Grosjean",12,0)+IF(Blad4!X15="K. Magnussen",12,0)+IF(Blad4!Z15="R. Grosjean",13,0)+IF(Blad4!Z15="K. Magnussen",13,0)+IF(Blad4!AB15="R. Grosjean",14,0)+IF(Blad4!AB15="K. Magnussen",14,0)+IF(Blad4!AD15="R. Grosjean",15,0)+IF(Blad4!AD15="K. Magnussen",15,0)+IF(Blad4!AF15="R. Grosjean",16,0)+IF(Blad4!AF15="K. Magnussen",16,0)+IF(Blad4!AH15="R. Grosjean",17,0)+IF(Blad4!AH15="K. Magnussen",17,0)+IF(Blad4!AJ15="R. Grosjean",18,0)+IF(Blad4!AJ15="K. Magnussen",18,0)+IF(Blad4!AL15="R. Grosjean",19,0)+IF(Blad4!AL15="K. Magnussen",19,0)+IF(Blad4!AN15="R. Grosjean",20,0)+IF(Blad4!AN15="K. Magnussen",20,0))/2</f>
        <v>12</v>
      </c>
      <c r="AP13" s="680"/>
      <c r="AQ13" s="680"/>
      <c r="AR13" s="680"/>
      <c r="AS13" s="680"/>
      <c r="AT13" s="680"/>
      <c r="AU13" s="680"/>
      <c r="AV13" s="681"/>
    </row>
    <row r="14" spans="3:48" x14ac:dyDescent="0.2">
      <c r="AA14" s="669" t="s">
        <v>65</v>
      </c>
      <c r="AB14" s="679">
        <f>(IF(Blad4!B2="C. Sainz",1,0)+IF(Blad4!B2="L. Norris",1,0)+IF(Blad4!D2="C. Sainz",2,0)+IF(Blad4!D2="L. Norris",2,0)+IF(Blad4!F2="C. Sainz",3,0)+IF(Blad4!F2="L. Norris",3,0)+IF(Blad4!H2="C. Sainz",4,0)+IF(Blad4!H2="L. Norris",4,0)+IF(Blad4!J2="C. Sainz",5,0)+IF(Blad4!J2="L. Norris",5,0)+IF(Blad4!L2="C. Sainz",6,0)+IF(Blad4!L2="L. Norris",6,0)+IF(Blad4!N2="C. Sainz",7,0)+IF(Blad4!N2="L. Norris",7,0)+IF(Blad4!P2="C. Sainz",8,0)+IF(Blad4!P2="L. Norris",8,0)+IF(Blad4!R2="C. Sainz",9,0)+IF(Blad4!R2="L. Norris",9,0)+IF(Blad4!T2="C. Sainz",10,0)+IF(Blad4!T2="L. Norris",10,0)+IF(Blad4!V2="C. Sainz",11,0)+IF(Blad4!V2="L. Norris",11,0)+IF(Blad4!X2="C. Sainz",12,0)+IF(Blad4!X2="L. Norris",12,0)+IF(Blad4!Z2="C. Sainz",13,0)+IF(Blad4!Z2="L. Norris",13,0)+IF(Blad4!AB2="C. Sainz",14,0)+IF(Blad4!AB2="L. Norris",14,0)+IF(Blad4!AD2="C. Sainz",15,0)+IF(Blad4!AD2="L. Norris",15,0)+IF(Blad4!AF2="C. Sainz",16,0)+IF(Blad4!AF2="L. Norris",16,0)+IF(Blad4!AH2="C. Sainz",17,0)+IF(Blad4!AH2="L. Norris",17,0)+IF(Blad4!AJ2="C. Sainz",18,0)+IF(Blad4!AJ2="L. Norris",18,0)+IF(Blad4!AL2="C. Sainz",19,0)+IF(Blad4!AL2="L. Norris",19,0)+IF(Blad4!AN2="C. Sainz",20,0)+IF(Blad4!AN2="L. Norris",20,0))/2</f>
        <v>13</v>
      </c>
      <c r="AC14" s="680">
        <f>(IF(Blad4!B3="C. Sainz",1,0)+IF(Blad4!B3="L. Norris",1,0)+IF(Blad4!D3="C. Sainz",2,0)+IF(Blad4!D3="L. Norris",2,0)+IF(Blad4!F3="C. Sainz",3,0)+IF(Blad4!F3="L. Norris",3,0)+IF(Blad4!H3="C. Sainz",4,0)+IF(Blad4!H3="L. Norris",4,0)+IF(Blad4!J3="C. Sainz",5,0)+IF(Blad4!J3="L. Norris",5,0)+IF(Blad4!L3="C. Sainz",6,0)+IF(Blad4!L3="L. Norris",6,0)+IF(Blad4!N3="C. Sainz",7,0)+IF(Blad4!N3="L. Norris",7,0)+IF(Blad4!P3="C. Sainz",8,0)+IF(Blad4!P3="L. Norris",8,0)+IF(Blad4!R3="C. Sainz",9,0)+IF(Blad4!R3="L. Norris",9,0)+IF(Blad4!T3="C. Sainz",10,0)+IF(Blad4!T3="L. Norris",10,0)+IF(Blad4!V3="C. Sainz",11,0)+IF(Blad4!V3="L. Norris",11,0)+IF(Blad4!X3="C. Sainz",12,0)+IF(Blad4!X3="L. Norris",12,0)+IF(Blad4!Z3="C. Sainz",13,0)+IF(Blad4!Z3="L. Norris",13,0)+IF(Blad4!AB3="C. Sainz",14,0)+IF(Blad4!AB3="L. Norris",14,0)+IF(Blad4!AD3="C. Sainz",15,0)+IF(Blad4!AD3="L. Norris",15,0)+IF(Blad4!AF3="C. Sainz",16,0)+IF(Blad4!AF3="L. Norris",16,0)+IF(Blad4!AH3="C. Sainz",17,0)+IF(Blad4!AH3="L. Norris",17,0)+IF(Blad4!AJ3="C. Sainz",18,0)+IF(Blad4!AJ3="L. Norris",18,0)+IF(Blad4!AL3="C. Sainz",19,0)+IF(Blad4!AL3="L. Norris",19,0)+IF(Blad4!AN3="C. Sainz",20,0)+IF(Blad4!AN3="L. Norris",20,0))/2</f>
        <v>8</v>
      </c>
      <c r="AD14" s="680">
        <f>(IF(Blad4!B4="C. Sainz",1,0)+IF(Blad4!B4="L. Norris",1,0)+IF(Blad4!D4="C. Sainz",2,0)+IF(Blad4!D4="L. Norris",2,0)+IF(Blad4!F4="C. Sainz",3,0)+IF(Blad4!F4="L. Norris",3,0)+IF(Blad4!H4="C. Sainz",4,0)+IF(Blad4!H4="L. Norris",4,0)+IF(Blad4!J4="C. Sainz",5,0)+IF(Blad4!J4="L. Norris",5,0)+IF(Blad4!L4="C. Sainz",6,0)+IF(Blad4!L4="L. Norris",6,0)+IF(Blad4!N4="C. Sainz",7,0)+IF(Blad4!N4="L. Norris",7,0)+IF(Blad4!P4="C. Sainz",8,0)+IF(Blad4!P4="L. Norris",8,0)+IF(Blad4!R4="C. Sainz",9,0)+IF(Blad4!R4="L. Norris",9,0)+IF(Blad4!T4="C. Sainz",10,0)+IF(Blad4!T4="L. Norris",10,0)+IF(Blad4!V4="C. Sainz",11,0)+IF(Blad4!V4="L. Norris",11,0)+IF(Blad4!X4="C. Sainz",12,0)+IF(Blad4!X4="L. Norris",12,0)+IF(Blad4!Z4="C. Sainz",13,0)+IF(Blad4!Z4="L. Norris",13,0)+IF(Blad4!AB4="C. Sainz",14,0)+IF(Blad4!AB4="L. Norris",14,0)+IF(Blad4!AD4="C. Sainz",15,0)+IF(Blad4!AD4="L. Norris",15,0)+IF(Blad4!AF4="C. Sainz",16,0)+IF(Blad4!AF4="L. Norris",16,0)+IF(Blad4!AH4="C. Sainz",17,0)+IF(Blad4!AH4="L. Norris",17,0)+IF(Blad4!AJ4="C. Sainz",18,0)+IF(Blad4!AJ4="L. Norris",18,0)+IF(Blad4!AL4="C. Sainz",19,0)+IF(Blad4!AL4="L. Norris",19,0)+IF(Blad4!AN4="C. Sainz",20,0)+IF(Blad4!AN4="L. Norris",20,0))/2</f>
        <v>14.5</v>
      </c>
      <c r="AE14" s="680">
        <f>(IF(Blad4!B5="C. Sainz",1,0)+IF(Blad4!B5="L. Norris",1,0)+IF(Blad4!D5="C. Sainz",2,0)+IF(Blad4!D5="L. Norris",2,0)+IF(Blad4!F5="C. Sainz",3,0)+IF(Blad4!F5="L. Norris",3,0)+IF(Blad4!H5="C. Sainz",4,0)+IF(Blad4!H5="L. Norris",4,0)+IF(Blad4!J5="C. Sainz",5,0)+IF(Blad4!J5="L. Norris",5,0)+IF(Blad4!L5="C. Sainz",6,0)+IF(Blad4!L5="L. Norris",6,0)+IF(Blad4!N5="C. Sainz",7,0)+IF(Blad4!N5="L. Norris",7,0)+IF(Blad4!P5="C. Sainz",8,0)+IF(Blad4!P5="L. Norris",8,0)+IF(Blad4!R5="C. Sainz",9,0)+IF(Blad4!R5="L. Norris",9,0)+IF(Blad4!T5="C. Sainz",10,0)+IF(Blad4!T5="L. Norris",10,0)+IF(Blad4!V5="C. Sainz",11,0)+IF(Blad4!V5="L. Norris",11,0)+IF(Blad4!X5="C. Sainz",12,0)+IF(Blad4!X5="L. Norris",12,0)+IF(Blad4!Z5="C. Sainz",13,0)+IF(Blad4!Z5="L. Norris",13,0)+IF(Blad4!AB5="C. Sainz",14,0)+IF(Blad4!AB5="L. Norris",14,0)+IF(Blad4!AD5="C. Sainz",15,0)+IF(Blad4!AD5="L. Norris",15,0)+IF(Blad4!AF5="C. Sainz",16,0)+IF(Blad4!AF5="L. Norris",16,0)+IF(Blad4!AH5="C. Sainz",17,0)+IF(Blad4!AH5="L. Norris",17,0)+IF(Blad4!AJ5="C. Sainz",18,0)+IF(Blad4!AJ5="L. Norris",18,0)+IF(Blad4!AL5="C. Sainz",19,0)+IF(Blad4!AL5="L. Norris",19,0)+IF(Blad4!AN5="C. Sainz",20,0)+IF(Blad4!AN5="L. Norris",20,0))/2</f>
        <v>8</v>
      </c>
      <c r="AF14" s="680">
        <f>(IF(Blad4!B6="C. Sainz",1,0)+IF(Blad4!B6="L. Norris",1,0)+IF(Blad4!D6="C. Sainz",2,0)+IF(Blad4!D6="L. Norris",2,0)+IF(Blad4!F6="C. Sainz",3,0)+IF(Blad4!F6="L. Norris",3,0)+IF(Blad4!H6="C. Sainz",4,0)+IF(Blad4!H6="L. Norris",4,0)+IF(Blad4!J6="C. Sainz",5,0)+IF(Blad4!J6="L. Norris",5,0)+IF(Blad4!L6="C. Sainz",6,0)+IF(Blad4!L6="L. Norris",6,0)+IF(Blad4!N6="C. Sainz",7,0)+IF(Blad4!N6="L. Norris",7,0)+IF(Blad4!P6="C. Sainz",8,0)+IF(Blad4!P6="L. Norris",8,0)+IF(Blad4!R6="C. Sainz",9,0)+IF(Blad4!R6="L. Norris",9,0)+IF(Blad4!T6="C. Sainz",10,0)+IF(Blad4!T6="L. Norris",10,0)+IF(Blad4!V6="C. Sainz",11,0)+IF(Blad4!V6="L. Norris",11,0)+IF(Blad4!X6="C. Sainz",12,0)+IF(Blad4!X6="L. Norris",12,0)+IF(Blad4!Z6="C. Sainz",13,0)+IF(Blad4!Z6="L. Norris",13,0)+IF(Blad4!AB6="C. Sainz",14,0)+IF(Blad4!AB6="L. Norris",14,0)+IF(Blad4!AD6="C. Sainz",15,0)+IF(Blad4!AD6="L. Norris",15,0)+IF(Blad4!AF6="C. Sainz",16,0)+IF(Blad4!AF6="L. Norris",16,0)+IF(Blad4!AH6="C. Sainz",17,0)+IF(Blad4!AH6="L. Norris",17,0)+IF(Blad4!AJ6="C. Sainz",18,0)+IF(Blad4!AJ6="L. Norris",18,0)+IF(Blad4!AL6="C. Sainz",19,0)+IF(Blad4!AL6="L. Norris",19,0)+IF(Blad4!AN6="C. Sainz",20,0)+IF(Blad4!AN6="L. Norris",20,0))/2</f>
        <v>11</v>
      </c>
      <c r="AG14" s="680">
        <f>(IF(Blad4!B7="C. Sainz",1,0)+IF(Blad4!B7="L. Norris",1,0)+IF(Blad4!D7="C. Sainz",2,0)+IF(Blad4!D7="L. Norris",2,0)+IF(Blad4!F7="C. Sainz",3,0)+IF(Blad4!F7="L. Norris",3,0)+IF(Blad4!H7="C. Sainz",4,0)+IF(Blad4!H7="L. Norris",4,0)+IF(Blad4!J7="C. Sainz",5,0)+IF(Blad4!J7="L. Norris",5,0)+IF(Blad4!L7="C. Sainz",6,0)+IF(Blad4!L7="L. Norris",6,0)+IF(Blad4!N7="C. Sainz",7,0)+IF(Blad4!N7="L. Norris",7,0)+IF(Blad4!P7="C. Sainz",8,0)+IF(Blad4!P7="L. Norris",8,0)+IF(Blad4!R7="C. Sainz",9,0)+IF(Blad4!R7="L. Norris",9,0)+IF(Blad4!T7="C. Sainz",10,0)+IF(Blad4!T7="L. Norris",10,0)+IF(Blad4!V7="C. Sainz",11,0)+IF(Blad4!V7="L. Norris",11,0)+IF(Blad4!X7="C. Sainz",12,0)+IF(Blad4!X7="L. Norris",12,0)+IF(Blad4!Z7="C. Sainz",13,0)+IF(Blad4!Z7="L. Norris",13,0)+IF(Blad4!AB7="C. Sainz",14,0)+IF(Blad4!AB7="L. Norris",14,0)+IF(Blad4!AD7="C. Sainz",15,0)+IF(Blad4!AD7="L. Norris",15,0)+IF(Blad4!AF7="C. Sainz",16,0)+IF(Blad4!AF7="L. Norris",16,0)+IF(Blad4!AH7="C. Sainz",17,0)+IF(Blad4!AH7="L. Norris",17,0)+IF(Blad4!AJ7="C. Sainz",18,0)+IF(Blad4!AJ7="L. Norris",18,0)+IF(Blad4!AL7="C. Sainz",19,0)+IF(Blad4!AL7="L. Norris",19,0)+IF(Blad4!AN7="C. Sainz",20,0)+IF(Blad4!AN7="L. Norris",20,0))/2</f>
        <v>10.5</v>
      </c>
      <c r="AH14" s="680">
        <f>(IF(Blad4!B8="C. Sainz",1,0)+IF(Blad4!B8="L. Norris",1,0)+IF(Blad4!D8="C. Sainz",2,0)+IF(Blad4!D8="L. Norris",2,0)+IF(Blad4!F8="C. Sainz",3,0)+IF(Blad4!F8="L. Norris",3,0)+IF(Blad4!H8="C. Sainz",4,0)+IF(Blad4!H8="L. Norris",4,0)+IF(Blad4!J8="C. Sainz",5,0)+IF(Blad4!J8="L. Norris",5,0)+IF(Blad4!L8="C. Sainz",6,0)+IF(Blad4!L8="L. Norris",6,0)+IF(Blad4!N8="C. Sainz",7,0)+IF(Blad4!N8="L. Norris",7,0)+IF(Blad4!P8="C. Sainz",8,0)+IF(Blad4!P8="L. Norris",8,0)+IF(Blad4!R8="C. Sainz",9,0)+IF(Blad4!R8="L. Norris",9,0)+IF(Blad4!T8="C. Sainz",10,0)+IF(Blad4!T8="L. Norris",10,0)+IF(Blad4!V8="C. Sainz",11,0)+IF(Blad4!V8="L. Norris",11,0)+IF(Blad4!X8="C. Sainz",12,0)+IF(Blad4!X8="L. Norris",12,0)+IF(Blad4!Z8="C. Sainz",13,0)+IF(Blad4!Z8="L. Norris",13,0)+IF(Blad4!AB8="C. Sainz",14,0)+IF(Blad4!AB8="L. Norris",14,0)+IF(Blad4!AD8="C. Sainz",15,0)+IF(Blad4!AD8="L. Norris",15,0)+IF(Blad4!AF8="C. Sainz",16,0)+IF(Blad4!AF8="L. Norris",16,0)+IF(Blad4!AH8="C. Sainz",17,0)+IF(Blad4!AH8="L. Norris",17,0)+IF(Blad4!AJ8="C. Sainz",18,0)+IF(Blad4!AJ8="L. Norris",18,0)+IF(Blad4!AL8="C. Sainz",19,0)+IF(Blad4!AL8="L. Norris",19,0)+IF(Blad4!AN8="C. Sainz",20,0)+IF(Blad4!AN8="L. Norris",20,0))/2</f>
        <v>9.5</v>
      </c>
      <c r="AI14" s="680">
        <f>(IF(Blad4!B9="C. Sainz",1,0)+IF(Blad4!B9="L. Norris",1,0)+IF(Blad4!D9="C. Sainz",2,0)+IF(Blad4!D9="L. Norris",2,0)+IF(Blad4!F9="C. Sainz",3,0)+IF(Blad4!F9="L. Norris",3,0)+IF(Blad4!H9="C. Sainz",4,0)+IF(Blad4!H9="L. Norris",4,0)+IF(Blad4!J9="C. Sainz",5,0)+IF(Blad4!J9="L. Norris",5,0)+IF(Blad4!L9="C. Sainz",6,0)+IF(Blad4!L9="L. Norris",6,0)+IF(Blad4!N9="C. Sainz",7,0)+IF(Blad4!N9="L. Norris",7,0)+IF(Blad4!P9="C. Sainz",8,0)+IF(Blad4!P9="L. Norris",8,0)+IF(Blad4!R9="C. Sainz",9,0)+IF(Blad4!R9="L. Norris",9,0)+IF(Blad4!T9="C. Sainz",10,0)+IF(Blad4!T9="L. Norris",10,0)+IF(Blad4!V9="C. Sainz",11,0)+IF(Blad4!V9="L. Norris",11,0)+IF(Blad4!X9="C. Sainz",12,0)+IF(Blad4!X9="L. Norris",12,0)+IF(Blad4!Z9="C. Sainz",13,0)+IF(Blad4!Z9="L. Norris",13,0)+IF(Blad4!AB9="C. Sainz",14,0)+IF(Blad4!AB9="L. Norris",14,0)+IF(Blad4!AD9="C. Sainz",15,0)+IF(Blad4!AD9="L. Norris",15,0)+IF(Blad4!AF9="C. Sainz",16,0)+IF(Blad4!AF9="L. Norris",16,0)+IF(Blad4!AH9="C. Sainz",17,0)+IF(Blad4!AH9="L. Norris",17,0)+IF(Blad4!AJ9="C. Sainz",18,0)+IF(Blad4!AJ9="L. Norris",18,0)+IF(Blad4!AL9="C. Sainz",19,0)+IF(Blad4!AL9="L. Norris",19,0)+IF(Blad4!AN9="C. Sainz",20,0)+IF(Blad4!AN9="L. Norris",20,0))/2</f>
        <v>5.5</v>
      </c>
      <c r="AJ14" s="680">
        <f>(IF(Blad4!B10="C. Sainz",1,0)+IF(Blad4!B10="L. Norris",1,0)+IF(Blad4!D10="C. Sainz",2,0)+IF(Blad4!D10="L. Norris",2,0)+IF(Blad4!F10="C. Sainz",3,0)+IF(Blad4!F10="L. Norris",3,0)+IF(Blad4!H10="C. Sainz",4,0)+IF(Blad4!H10="L. Norris",4,0)+IF(Blad4!J10="C. Sainz",5,0)+IF(Blad4!J10="L. Norris",5,0)+IF(Blad4!L10="C. Sainz",6,0)+IF(Blad4!L10="L. Norris",6,0)+IF(Blad4!N10="C. Sainz",7,0)+IF(Blad4!N10="L. Norris",7,0)+IF(Blad4!P10="C. Sainz",8,0)+IF(Blad4!P10="L. Norris",8,0)+IF(Blad4!R10="C. Sainz",9,0)+IF(Blad4!R10="L. Norris",9,0)+IF(Blad4!T10="C. Sainz",10,0)+IF(Blad4!T10="L. Norris",10,0)+IF(Blad4!V10="C. Sainz",11,0)+IF(Blad4!V10="L. Norris",11,0)+IF(Blad4!X10="C. Sainz",12,0)+IF(Blad4!X10="L. Norris",12,0)+IF(Blad4!Z10="C. Sainz",13,0)+IF(Blad4!Z10="L. Norris",13,0)+IF(Blad4!AB10="C. Sainz",14,0)+IF(Blad4!AB10="L. Norris",14,0)+IF(Blad4!AD10="C. Sainz",15,0)+IF(Blad4!AD10="L. Norris",15,0)+IF(Blad4!AF10="C. Sainz",16,0)+IF(Blad4!AF10="L. Norris",16,0)+IF(Blad4!AH10="C. Sainz",17,0)+IF(Blad4!AH10="L. Norris",17,0)+IF(Blad4!AJ10="C. Sainz",18,0)+IF(Blad4!AJ10="L. Norris",18,0)+IF(Blad4!AL10="C. Sainz",19,0)+IF(Blad4!AL10="L. Norris",19,0)+IF(Blad4!AN10="C. Sainz",20,0)+IF(Blad4!AN10="L. Norris",20,0))/2</f>
        <v>12</v>
      </c>
      <c r="AK14" s="680">
        <f>(IF(Blad4!B11="C. Sainz",1,0)+IF(Blad4!B11="L. Norris",1,0)+IF(Blad4!D11="C. Sainz",2,0)+IF(Blad4!D11="L. Norris",2,0)+IF(Blad4!F11="C. Sainz",3,0)+IF(Blad4!F11="L. Norris",3,0)+IF(Blad4!H11="C. Sainz",4,0)+IF(Blad4!H11="L. Norris",4,0)+IF(Blad4!J11="C. Sainz",5,0)+IF(Blad4!J11="L. Norris",5,0)+IF(Blad4!L11="C. Sainz",6,0)+IF(Blad4!L11="L. Norris",6,0)+IF(Blad4!N11="C. Sainz",7,0)+IF(Blad4!N11="L. Norris",7,0)+IF(Blad4!P11="C. Sainz",8,0)+IF(Blad4!P11="L. Norris",8,0)+IF(Blad4!R11="C. Sainz",9,0)+IF(Blad4!R11="L. Norris",9,0)+IF(Blad4!T11="C. Sainz",10,0)+IF(Blad4!T11="L. Norris",10,0)+IF(Blad4!V11="C. Sainz",11,0)+IF(Blad4!V11="L. Norris",11,0)+IF(Blad4!X11="C. Sainz",12,0)+IF(Blad4!X11="L. Norris",12,0)+IF(Blad4!Z11="C. Sainz",13,0)+IF(Blad4!Z11="L. Norris",13,0)+IF(Blad4!AB11="C. Sainz",14,0)+IF(Blad4!AB11="L. Norris",14,0)+IF(Blad4!AD11="C. Sainz",15,0)+IF(Blad4!AD11="L. Norris",15,0)+IF(Blad4!AF11="C. Sainz",16,0)+IF(Blad4!AF11="L. Norris",16,0)+IF(Blad4!AH11="C. Sainz",17,0)+IF(Blad4!AH11="L. Norris",17,0)+IF(Blad4!AJ11="C. Sainz",18,0)+IF(Blad4!AJ11="L. Norris",18,0)+IF(Blad4!AL11="C. Sainz",19,0)+IF(Blad4!AL11="L. Norris",19,0)+IF(Blad4!AN11="C. Sainz",20,0)+IF(Blad4!AN11="L. Norris",20,0))/2</f>
        <v>10.5</v>
      </c>
      <c r="AL14" s="680">
        <f>(IF(Blad4!B12="C. Sainz",1,0)+IF(Blad4!B12="L. Norris",1,0)+IF(Blad4!D12="C. Sainz",2,0)+IF(Blad4!D12="L. Norris",2,0)+IF(Blad4!F12="C. Sainz",3,0)+IF(Blad4!F12="L. Norris",3,0)+IF(Blad4!H12="C. Sainz",4,0)+IF(Blad4!H12="L. Norris",4,0)+IF(Blad4!J12="C. Sainz",5,0)+IF(Blad4!J12="L. Norris",5,0)+IF(Blad4!L12="C. Sainz",6,0)+IF(Blad4!L12="L. Norris",6,0)+IF(Blad4!N12="C. Sainz",7,0)+IF(Blad4!N12="L. Norris",7,0)+IF(Blad4!P12="C. Sainz",8,0)+IF(Blad4!P12="L. Norris",8,0)+IF(Blad4!R12="C. Sainz",9,0)+IF(Blad4!R12="L. Norris",9,0)+IF(Blad4!T12="C. Sainz",10,0)+IF(Blad4!T12="L. Norris",10,0)+IF(Blad4!V12="C. Sainz",11,0)+IF(Blad4!V12="L. Norris",11,0)+IF(Blad4!X12="C. Sainz",12,0)+IF(Blad4!X12="L. Norris",12,0)+IF(Blad4!Z12="C. Sainz",13,0)+IF(Blad4!Z12="L. Norris",13,0)+IF(Blad4!AB12="C. Sainz",14,0)+IF(Blad4!AB12="L. Norris",14,0)+IF(Blad4!AD12="C. Sainz",15,0)+IF(Blad4!AD12="L. Norris",15,0)+IF(Blad4!AF12="C. Sainz",16,0)+IF(Blad4!AF12="L. Norris",16,0)+IF(Blad4!AH12="C. Sainz",17,0)+IF(Blad4!AH12="L. Norris",17,0)+IF(Blad4!AJ12="C. Sainz",18,0)+IF(Blad4!AJ12="L. Norris",18,0)+IF(Blad4!AL12="C. Sainz",19,0)+IF(Blad4!AL12="L. Norris",19,0)+IF(Blad4!AN12="C. Sainz",20,0)+IF(Blad4!AN12="L. Norris",20,0))/2</f>
        <v>13</v>
      </c>
      <c r="AM14" s="680">
        <f>(IF(Blad4!B13="C. Sainz",1,0)+IF(Blad4!B13="L. Norris",1,0)+IF(Blad4!D13="C. Sainz",2,0)+IF(Blad4!D13="L. Norris",2,0)+IF(Blad4!F13="C. Sainz",3,0)+IF(Blad4!F13="L. Norris",3,0)+IF(Blad4!H13="C. Sainz",4,0)+IF(Blad4!H13="L. Norris",4,0)+IF(Blad4!J13="C. Sainz",5,0)+IF(Blad4!J13="L. Norris",5,0)+IF(Blad4!L13="C. Sainz",6,0)+IF(Blad4!L13="L. Norris",6,0)+IF(Blad4!N13="C. Sainz",7,0)+IF(Blad4!N13="L. Norris",7,0)+IF(Blad4!P13="C. Sainz",8,0)+IF(Blad4!P13="L. Norris",8,0)+IF(Blad4!R13="C. Sainz",9,0)+IF(Blad4!R13="L. Norris",9,0)+IF(Blad4!T13="C. Sainz",10,0)+IF(Blad4!T13="L. Norris",10,0)+IF(Blad4!V13="C. Sainz",11,0)+IF(Blad4!V13="L. Norris",11,0)+IF(Blad4!X13="C. Sainz",12,0)+IF(Blad4!X13="L. Norris",12,0)+IF(Blad4!Z13="C. Sainz",13,0)+IF(Blad4!Z13="L. Norris",13,0)+IF(Blad4!AB13="C. Sainz",14,0)+IF(Blad4!AB13="L. Norris",14,0)+IF(Blad4!AD13="C. Sainz",15,0)+IF(Blad4!AD13="L. Norris",15,0)+IF(Blad4!AF13="C. Sainz",16,0)+IF(Blad4!AF13="L. Norris",16,0)+IF(Blad4!AH13="C. Sainz",17,0)+IF(Blad4!AH13="L. Norris",17,0)+IF(Blad4!AJ13="C. Sainz",18,0)+IF(Blad4!AJ13="L. Norris",18,0)+IF(Blad4!AL13="C. Sainz",19,0)+IF(Blad4!AL13="L. Norris",19,0)+IF(Blad4!AN13="C. Sainz",20,0)+IF(Blad4!AN13="L. Norris",20,0))/2</f>
        <v>7.5</v>
      </c>
      <c r="AN14" s="680">
        <f>(IF(Blad4!B14="C. Sainz",1,0)+IF(Blad4!B14="L. Norris",1,0)+IF(Blad4!D14="C. Sainz",2,0)+IF(Blad4!D14="L. Norris",2,0)+IF(Blad4!F14="C. Sainz",3,0)+IF(Blad4!F14="L. Norris",3,0)+IF(Blad4!H14="C. Sainz",4,0)+IF(Blad4!H14="L. Norris",4,0)+IF(Blad4!J14="C. Sainz",5,0)+IF(Blad4!J14="L. Norris",5,0)+IF(Blad4!L14="C. Sainz",6,0)+IF(Blad4!L14="L. Norris",6,0)+IF(Blad4!N14="C. Sainz",7,0)+IF(Blad4!N14="L. Norris",7,0)+IF(Blad4!P14="C. Sainz",8,0)+IF(Blad4!P14="L. Norris",8,0)+IF(Blad4!R14="C. Sainz",9,0)+IF(Blad4!R14="L. Norris",9,0)+IF(Blad4!T14="C. Sainz",10,0)+IF(Blad4!T14="L. Norris",10,0)+IF(Blad4!V14="C. Sainz",11,0)+IF(Blad4!V14="L. Norris",11,0)+IF(Blad4!X14="C. Sainz",12,0)+IF(Blad4!X14="L. Norris",12,0)+IF(Blad4!Z14="C. Sainz",13,0)+IF(Blad4!Z14="L. Norris",13,0)+IF(Blad4!AB14="C. Sainz",14,0)+IF(Blad4!AB14="L. Norris",14,0)+IF(Blad4!AD14="C. Sainz",15,0)+IF(Blad4!AD14="L. Norris",15,0)+IF(Blad4!AF14="C. Sainz",16,0)+IF(Blad4!AF14="L. Norris",16,0)+IF(Blad4!AH14="C. Sainz",17,0)+IF(Blad4!AH14="L. Norris",17,0)+IF(Blad4!AJ14="C. Sainz",18,0)+IF(Blad4!AJ14="L. Norris",18,0)+IF(Blad4!AL14="C. Sainz",19,0)+IF(Blad4!AL14="L. Norris",19,0)+IF(Blad4!AN14="C. Sainz",20,0)+IF(Blad4!AN14="L. Norris",20,0))/2</f>
        <v>13</v>
      </c>
      <c r="AO14" s="680">
        <f>(IF(Blad4!B15="C. Sainz",1,0)+IF(Blad4!B15="L. Norris",1,0)+IF(Blad4!D15="C. Sainz",2,0)+IF(Blad4!D15="L. Norris",2,0)+IF(Blad4!F15="C. Sainz",3,0)+IF(Blad4!F15="L. Norris",3,0)+IF(Blad4!H15="C. Sainz",4,0)+IF(Blad4!H15="L. Norris",4,0)+IF(Blad4!J15="C. Sainz",5,0)+IF(Blad4!J15="L. Norris",5,0)+IF(Blad4!L15="C. Sainz",6,0)+IF(Blad4!L15="L. Norris",6,0)+IF(Blad4!N15="C. Sainz",7,0)+IF(Blad4!N15="L. Norris",7,0)+IF(Blad4!P15="C. Sainz",8,0)+IF(Blad4!P15="L. Norris",8,0)+IF(Blad4!R15="C. Sainz",9,0)+IF(Blad4!R15="L. Norris",9,0)+IF(Blad4!T15="C. Sainz",10,0)+IF(Blad4!T15="L. Norris",10,0)+IF(Blad4!V15="C. Sainz",11,0)+IF(Blad4!V15="L. Norris",11,0)+IF(Blad4!X15="C. Sainz",12,0)+IF(Blad4!X15="L. Norris",12,0)+IF(Blad4!Z15="C. Sainz",13,0)+IF(Blad4!Z15="L. Norris",13,0)+IF(Blad4!AB15="C. Sainz",14,0)+IF(Blad4!AB15="L. Norris",14,0)+IF(Blad4!AD15="C. Sainz",15,0)+IF(Blad4!AD15="L. Norris",15,0)+IF(Blad4!AF15="C. Sainz",16,0)+IF(Blad4!AF15="L. Norris",16,0)+IF(Blad4!AH15="C. Sainz",17,0)+IF(Blad4!AH15="L. Norris",17,0)+IF(Blad4!AJ15="C. Sainz",18,0)+IF(Blad4!AJ15="L. Norris",18,0)+IF(Blad4!AL15="C. Sainz",19,0)+IF(Blad4!AL15="L. Norris",19,0)+IF(Blad4!AN15="C. Sainz",20,0)+IF(Blad4!AN15="L. Norris",20,0))/2</f>
        <v>11.5</v>
      </c>
      <c r="AP14" s="680"/>
      <c r="AQ14" s="680"/>
      <c r="AR14" s="680"/>
      <c r="AS14" s="680"/>
      <c r="AT14" s="680"/>
      <c r="AU14" s="680"/>
      <c r="AV14" s="681"/>
    </row>
    <row r="15" spans="3:48" x14ac:dyDescent="0.2">
      <c r="AA15" s="669" t="s">
        <v>544</v>
      </c>
      <c r="AB15" s="679">
        <f>(IF(Blad4!B2="S. Pérez",1,0)+IF(Blad4!B2="L. Stroll",1,0)+IF(Blad4!D2="S. Pérez",2,0)+IF(Blad4!D2="L. Stroll",2,0)+IF(Blad4!F2="S. Pérez",3,0)+IF(Blad4!F2="L. Stroll",3,0)+IF(Blad4!H2="S. Pérez",4,0)+IF(Blad4!H2="L. Stroll",4,0)+IF(Blad4!J2="S. Pérez",5,0)+IF(Blad4!J2="L. Stroll",5,0)+IF(Blad4!L2="S. Pérez",6,0)+IF(Blad4!L2="L. Stroll",6,0)+IF(Blad4!N2="S. Pérez",7,0)+IF(Blad4!N2="L. Stroll",7,0)+IF(Blad4!P2="S. Pérez",8,0)+IF(Blad4!P2="L. Stroll",8,0)+IF(Blad4!R2="S. Pérez",9,0)+IF(Blad4!R2="L. Stroll",9,0)+IF(Blad4!T2="S. Pérez",10,0)+IF(Blad4!T2="L. Stroll",10,0)+IF(Blad4!V2="S. Pérez",11,0)+IF(Blad4!V2="L. Stroll",11,0)+IF(Blad4!X2="S. Pérez",12,0)+IF(Blad4!X2="L. Stroll",12,0)+IF(Blad4!Z2="S. Pérez",13,0)+IF(Blad4!Z2="L. Stroll",13,0)+IF(Blad4!AB2="S. Pérez",14,0)+IF(Blad4!AB2="L. Stroll",14,0)+IF(Blad4!AD2="S. Pérez",15,0)+IF(Blad4!AD2="L. Stroll",15,0)+IF(Blad4!AF2="S. Pérez",16,0)+IF(Blad4!AF2="L. Stroll",16,0)+IF(Blad4!AH2="S. Pérez",17,0)+IF(Blad4!AH2="L. Stroll",17,0)+IF(Blad4!AJ2="S. Pérez",18,0)+IF(Blad4!AJ2="L. Stroll",18,0)+IF(Blad4!AL2="S. Pérez",19,0)+IF(Blad4!AL2="L. Stroll",19,0)+IF(Blad4!AN2="S. Pérez",20,0)+IF(Blad4!AN2="L. Stroll",20,0))/2</f>
        <v>13</v>
      </c>
      <c r="AC15" s="680">
        <f>(IF(Blad4!B3="S. Pérez",1,0)+IF(Blad4!B3="L. Stroll",1,0)+IF(Blad4!D3="S. Pérez",2,0)+IF(Blad4!D3="L. Stroll",2,0)+IF(Blad4!F3="S. Pérez",3,0)+IF(Blad4!F3="L. Stroll",3,0)+IF(Blad4!H3="S. Pérez",4,0)+IF(Blad4!H3="L. Stroll",4,0)+IF(Blad4!J3="S. Pérez",5,0)+IF(Blad4!J3="L. Stroll",5,0)+IF(Blad4!L3="S. Pérez",6,0)+IF(Blad4!L3="L. Stroll",6,0)+IF(Blad4!N3="S. Pérez",7,0)+IF(Blad4!N3="L. Stroll",7,0)+IF(Blad4!P3="S. Pérez",8,0)+IF(Blad4!P3="L. Stroll",8,0)+IF(Blad4!R3="S. Pérez",9,0)+IF(Blad4!R3="L. Stroll",9,0)+IF(Blad4!T3="S. Pérez",10,0)+IF(Blad4!T3="L. Stroll",10,0)+IF(Blad4!V3="S. Pérez",11,0)+IF(Blad4!V3="L. Stroll",11,0)+IF(Blad4!X3="S. Pérez",12,0)+IF(Blad4!X3="L. Stroll",12,0)+IF(Blad4!Z3="S. Pérez",13,0)+IF(Blad4!Z3="L. Stroll",13,0)+IF(Blad4!AB3="S. Pérez",14,0)+IF(Blad4!AB3="L. Stroll",14,0)+IF(Blad4!AD3="S. Pérez",15,0)+IF(Blad4!AD3="L. Stroll",15,0)+IF(Blad4!AF3="S. Pérez",16,0)+IF(Blad4!AF3="L. Stroll",16,0)+IF(Blad4!AH3="S. Pérez",17,0)+IF(Blad4!AH3="L. Stroll",17,0)+IF(Blad4!AJ3="S. Pérez",18,0)+IF(Blad4!AJ3="L. Stroll",18,0)+IF(Blad4!AL3="S. Pérez",19,0)+IF(Blad4!AL3="L. Stroll",19,0)+IF(Blad4!AN3="S. Pérez",20,0)+IF(Blad4!AN3="L. Stroll",20,0))/2</f>
        <v>16</v>
      </c>
      <c r="AD15" s="680">
        <f>(IF(Blad4!B4="S. Pérez",1,0)+IF(Blad4!B4="L. Stroll",1,0)+IF(Blad4!D4="S. Pérez",2,0)+IF(Blad4!D4="L. Stroll",2,0)+IF(Blad4!F4="S. Pérez",3,0)+IF(Blad4!F4="L. Stroll",3,0)+IF(Blad4!H4="S. Pérez",4,0)+IF(Blad4!H4="L. Stroll",4,0)+IF(Blad4!J4="S. Pérez",5,0)+IF(Blad4!J4="L. Stroll",5,0)+IF(Blad4!L4="S. Pérez",6,0)+IF(Blad4!L4="L. Stroll",6,0)+IF(Blad4!N4="S. Pérez",7,0)+IF(Blad4!N4="L. Stroll",7,0)+IF(Blad4!P4="S. Pérez",8,0)+IF(Blad4!P4="L. Stroll",8,0)+IF(Blad4!R4="S. Pérez",9,0)+IF(Blad4!R4="L. Stroll",9,0)+IF(Blad4!T4="S. Pérez",10,0)+IF(Blad4!T4="L. Stroll",10,0)+IF(Blad4!V4="S. Pérez",11,0)+IF(Blad4!V4="L. Stroll",11,0)+IF(Blad4!X4="S. Pérez",12,0)+IF(Blad4!X4="L. Stroll",12,0)+IF(Blad4!Z4="S. Pérez",13,0)+IF(Blad4!Z4="L. Stroll",13,0)+IF(Blad4!AB4="S. Pérez",14,0)+IF(Blad4!AB4="L. Stroll",14,0)+IF(Blad4!AD4="S. Pérez",15,0)+IF(Blad4!AD4="L. Stroll",15,0)+IF(Blad4!AF4="S. Pérez",16,0)+IF(Blad4!AF4="L. Stroll",16,0)+IF(Blad4!AH4="S. Pérez",17,0)+IF(Blad4!AH4="L. Stroll",17,0)+IF(Blad4!AJ4="S. Pérez",18,0)+IF(Blad4!AJ4="L. Stroll",18,0)+IF(Blad4!AL4="S. Pérez",19,0)+IF(Blad4!AL4="L. Stroll",19,0)+IF(Blad4!AN4="S. Pérez",20,0)+IF(Blad4!AN4="L. Stroll",20,0))/2</f>
        <v>14</v>
      </c>
      <c r="AE15" s="680">
        <f>(IF(Blad4!B5="S. Pérez",1,0)+IF(Blad4!B5="L. Stroll",1,0)+IF(Blad4!D5="S. Pérez",2,0)+IF(Blad4!D5="L. Stroll",2,0)+IF(Blad4!F5="S. Pérez",3,0)+IF(Blad4!F5="L. Stroll",3,0)+IF(Blad4!H5="S. Pérez",4,0)+IF(Blad4!H5="L. Stroll",4,0)+IF(Blad4!J5="S. Pérez",5,0)+IF(Blad4!J5="L. Stroll",5,0)+IF(Blad4!L5="S. Pérez",6,0)+IF(Blad4!L5="L. Stroll",6,0)+IF(Blad4!N5="S. Pérez",7,0)+IF(Blad4!N5="L. Stroll",7,0)+IF(Blad4!P5="S. Pérez",8,0)+IF(Blad4!P5="L. Stroll",8,0)+IF(Blad4!R5="S. Pérez",9,0)+IF(Blad4!R5="L. Stroll",9,0)+IF(Blad4!T5="S. Pérez",10,0)+IF(Blad4!T5="L. Stroll",10,0)+IF(Blad4!V5="S. Pérez",11,0)+IF(Blad4!V5="L. Stroll",11,0)+IF(Blad4!X5="S. Pérez",12,0)+IF(Blad4!X5="L. Stroll",12,0)+IF(Blad4!Z5="S. Pérez",13,0)+IF(Blad4!Z5="L. Stroll",13,0)+IF(Blad4!AB5="S. Pérez",14,0)+IF(Blad4!AB5="L. Stroll",14,0)+IF(Blad4!AD5="S. Pérez",15,0)+IF(Blad4!AD5="L. Stroll",15,0)+IF(Blad4!AF5="S. Pérez",16,0)+IF(Blad4!AF5="L. Stroll",16,0)+IF(Blad4!AH5="S. Pérez",17,0)+IF(Blad4!AH5="L. Stroll",17,0)+IF(Blad4!AJ5="S. Pérez",18,0)+IF(Blad4!AJ5="L. Stroll",18,0)+IF(Blad4!AL5="S. Pérez",19,0)+IF(Blad4!AL5="L. Stroll",19,0)+IF(Blad4!AN5="S. Pérez",20,0)+IF(Blad4!AN5="L. Stroll",20,0))/2</f>
        <v>9</v>
      </c>
      <c r="AF15" s="680">
        <f>(IF(Blad4!B6="S. Pérez",1,0)+IF(Blad4!B6="L. Stroll",1,0)+IF(Blad4!D6="S. Pérez",2,0)+IF(Blad4!D6="L. Stroll",2,0)+IF(Blad4!F6="S. Pérez",3,0)+IF(Blad4!F6="L. Stroll",3,0)+IF(Blad4!H6="S. Pérez",4,0)+IF(Blad4!H6="L. Stroll",4,0)+IF(Blad4!J6="S. Pérez",5,0)+IF(Blad4!J6="L. Stroll",5,0)+IF(Blad4!L6="S. Pérez",6,0)+IF(Blad4!L6="L. Stroll",6,0)+IF(Blad4!N6="S. Pérez",7,0)+IF(Blad4!N6="L. Stroll",7,0)+IF(Blad4!P6="S. Pérez",8,0)+IF(Blad4!P6="L. Stroll",8,0)+IF(Blad4!R6="S. Pérez",9,0)+IF(Blad4!R6="L. Stroll",9,0)+IF(Blad4!T6="S. Pérez",10,0)+IF(Blad4!T6="L. Stroll",10,0)+IF(Blad4!V6="S. Pérez",11,0)+IF(Blad4!V6="L. Stroll",11,0)+IF(Blad4!X6="S. Pérez",12,0)+IF(Blad4!X6="L. Stroll",12,0)+IF(Blad4!Z6="S. Pérez",13,0)+IF(Blad4!Z6="L. Stroll",13,0)+IF(Blad4!AB6="S. Pérez",14,0)+IF(Blad4!AB6="L. Stroll",14,0)+IF(Blad4!AD6="S. Pérez",15,0)+IF(Blad4!AD6="L. Stroll",15,0)+IF(Blad4!AF6="S. Pérez",16,0)+IF(Blad4!AF6="L. Stroll",16,0)+IF(Blad4!AH6="S. Pérez",17,0)+IF(Blad4!AH6="L. Stroll",17,0)+IF(Blad4!AJ6="S. Pérez",18,0)+IF(Blad4!AJ6="L. Stroll",18,0)+IF(Blad4!AL6="S. Pérez",19,0)+IF(Blad4!AL6="L. Stroll",19,0)+IF(Blad4!AN6="S. Pérez",20,0)+IF(Blad4!AN6="L. Stroll",20,0))/2</f>
        <v>15.5</v>
      </c>
      <c r="AG15" s="680">
        <f>(IF(Blad4!B7="S. Pérez",1,0)+IF(Blad4!B7="L. Stroll",1,0)+IF(Blad4!D7="S. Pérez",2,0)+IF(Blad4!D7="L. Stroll",2,0)+IF(Blad4!F7="S. Pérez",3,0)+IF(Blad4!F7="L. Stroll",3,0)+IF(Blad4!H7="S. Pérez",4,0)+IF(Blad4!H7="L. Stroll",4,0)+IF(Blad4!J7="S. Pérez",5,0)+IF(Blad4!J7="L. Stroll",5,0)+IF(Blad4!L7="S. Pérez",6,0)+IF(Blad4!L7="L. Stroll",6,0)+IF(Blad4!N7="S. Pérez",7,0)+IF(Blad4!N7="L. Stroll",7,0)+IF(Blad4!P7="S. Pérez",8,0)+IF(Blad4!P7="L. Stroll",8,0)+IF(Blad4!R7="S. Pérez",9,0)+IF(Blad4!R7="L. Stroll",9,0)+IF(Blad4!T7="S. Pérez",10,0)+IF(Blad4!T7="L. Stroll",10,0)+IF(Blad4!V7="S. Pérez",11,0)+IF(Blad4!V7="L. Stroll",11,0)+IF(Blad4!X7="S. Pérez",12,0)+IF(Blad4!X7="L. Stroll",12,0)+IF(Blad4!Z7="S. Pérez",13,0)+IF(Blad4!Z7="L. Stroll",13,0)+IF(Blad4!AB7="S. Pérez",14,0)+IF(Blad4!AB7="L. Stroll",14,0)+IF(Blad4!AD7="S. Pérez",15,0)+IF(Blad4!AD7="L. Stroll",15,0)+IF(Blad4!AF7="S. Pérez",16,0)+IF(Blad4!AF7="L. Stroll",16,0)+IF(Blad4!AH7="S. Pérez",17,0)+IF(Blad4!AH7="L. Stroll",17,0)+IF(Blad4!AJ7="S. Pérez",18,0)+IF(Blad4!AJ7="L. Stroll",18,0)+IF(Blad4!AL7="S. Pérez",19,0)+IF(Blad4!AL7="L. Stroll",19,0)+IF(Blad4!AN7="S. Pérez",20,0)+IF(Blad4!AN7="L. Stroll",20,0))/2</f>
        <v>16.5</v>
      </c>
      <c r="AH15" s="680">
        <f>(IF(Blad4!B8="S. Pérez",1,0)+IF(Blad4!B8="L. Stroll",1,0)+IF(Blad4!D8="S. Pérez",2,0)+IF(Blad4!D8="L. Stroll",2,0)+IF(Blad4!F8="S. Pérez",3,0)+IF(Blad4!F8="L. Stroll",3,0)+IF(Blad4!H8="S. Pérez",4,0)+IF(Blad4!H8="L. Stroll",4,0)+IF(Blad4!J8="S. Pérez",5,0)+IF(Blad4!J8="L. Stroll",5,0)+IF(Blad4!L8="S. Pérez",6,0)+IF(Blad4!L8="L. Stroll",6,0)+IF(Blad4!N8="S. Pérez",7,0)+IF(Blad4!N8="L. Stroll",7,0)+IF(Blad4!P8="S. Pérez",8,0)+IF(Blad4!P8="L. Stroll",8,0)+IF(Blad4!R8="S. Pérez",9,0)+IF(Blad4!R8="L. Stroll",9,0)+IF(Blad4!T8="S. Pérez",10,0)+IF(Blad4!T8="L. Stroll",10,0)+IF(Blad4!V8="S. Pérez",11,0)+IF(Blad4!V8="L. Stroll",11,0)+IF(Blad4!X8="S. Pérez",12,0)+IF(Blad4!X8="L. Stroll",12,0)+IF(Blad4!Z8="S. Pérez",13,0)+IF(Blad4!Z8="L. Stroll",13,0)+IF(Blad4!AB8="S. Pérez",14,0)+IF(Blad4!AB8="L. Stroll",14,0)+IF(Blad4!AD8="S. Pérez",15,0)+IF(Blad4!AD8="L. Stroll",15,0)+IF(Blad4!AF8="S. Pérez",16,0)+IF(Blad4!AF8="L. Stroll",16,0)+IF(Blad4!AH8="S. Pérez",17,0)+IF(Blad4!AH8="L. Stroll",17,0)+IF(Blad4!AJ8="S. Pérez",18,0)+IF(Blad4!AJ8="L. Stroll",18,0)+IF(Blad4!AL8="S. Pérez",19,0)+IF(Blad4!AL8="L. Stroll",19,0)+IF(Blad4!AN8="S. Pérez",20,0)+IF(Blad4!AN8="L. Stroll",20,0))/2</f>
        <v>16</v>
      </c>
      <c r="AI15" s="680">
        <f>(IF(Blad4!B9="S. Pérez",1,0)+IF(Blad4!B9="L. Stroll",1,0)+IF(Blad4!D9="S. Pérez",2,0)+IF(Blad4!D9="L. Stroll",2,0)+IF(Blad4!F9="S. Pérez",3,0)+IF(Blad4!F9="L. Stroll",3,0)+IF(Blad4!H9="S. Pérez",4,0)+IF(Blad4!H9="L. Stroll",4,0)+IF(Blad4!J9="S. Pérez",5,0)+IF(Blad4!J9="L. Stroll",5,0)+IF(Blad4!L9="S. Pérez",6,0)+IF(Blad4!L9="L. Stroll",6,0)+IF(Blad4!N9="S. Pérez",7,0)+IF(Blad4!N9="L. Stroll",7,0)+IF(Blad4!P9="S. Pérez",8,0)+IF(Blad4!P9="L. Stroll",8,0)+IF(Blad4!R9="S. Pérez",9,0)+IF(Blad4!R9="L. Stroll",9,0)+IF(Blad4!T9="S. Pérez",10,0)+IF(Blad4!T9="L. Stroll",10,0)+IF(Blad4!V9="S. Pérez",11,0)+IF(Blad4!V9="L. Stroll",11,0)+IF(Blad4!X9="S. Pérez",12,0)+IF(Blad4!X9="L. Stroll",12,0)+IF(Blad4!Z9="S. Pérez",13,0)+IF(Blad4!Z9="L. Stroll",13,0)+IF(Blad4!AB9="S. Pérez",14,0)+IF(Blad4!AB9="L. Stroll",14,0)+IF(Blad4!AD9="S. Pérez",15,0)+IF(Blad4!AD9="L. Stroll",15,0)+IF(Blad4!AF9="S. Pérez",16,0)+IF(Blad4!AF9="L. Stroll",16,0)+IF(Blad4!AH9="S. Pérez",17,0)+IF(Blad4!AH9="L. Stroll",17,0)+IF(Blad4!AJ9="S. Pérez",18,0)+IF(Blad4!AJ9="L. Stroll",18,0)+IF(Blad4!AL9="S. Pérez",19,0)+IF(Blad4!AL9="L. Stroll",19,0)+IF(Blad4!AN9="S. Pérez",20,0)+IF(Blad4!AN9="L. Stroll",20,0))/2</f>
        <v>15.5</v>
      </c>
      <c r="AJ15" s="680">
        <f>(IF(Blad4!B10="S. Pérez",1,0)+IF(Blad4!B10="L. Stroll",1,0)+IF(Blad4!D10="S. Pérez",2,0)+IF(Blad4!D10="L. Stroll",2,0)+IF(Blad4!F10="S. Pérez",3,0)+IF(Blad4!F10="L. Stroll",3,0)+IF(Blad4!H10="S. Pérez",4,0)+IF(Blad4!H10="L. Stroll",4,0)+IF(Blad4!J10="S. Pérez",5,0)+IF(Blad4!J10="L. Stroll",5,0)+IF(Blad4!L10="S. Pérez",6,0)+IF(Blad4!L10="L. Stroll",6,0)+IF(Blad4!N10="S. Pérez",7,0)+IF(Blad4!N10="L. Stroll",7,0)+IF(Blad4!P10="S. Pérez",8,0)+IF(Blad4!P10="L. Stroll",8,0)+IF(Blad4!R10="S. Pérez",9,0)+IF(Blad4!R10="L. Stroll",9,0)+IF(Blad4!T10="S. Pérez",10,0)+IF(Blad4!T10="L. Stroll",10,0)+IF(Blad4!V10="S. Pérez",11,0)+IF(Blad4!V10="L. Stroll",11,0)+IF(Blad4!X10="S. Pérez",12,0)+IF(Blad4!X10="L. Stroll",12,0)+IF(Blad4!Z10="S. Pérez",13,0)+IF(Blad4!Z10="L. Stroll",13,0)+IF(Blad4!AB10="S. Pérez",14,0)+IF(Blad4!AB10="L. Stroll",14,0)+IF(Blad4!AD10="S. Pérez",15,0)+IF(Blad4!AD10="L. Stroll",15,0)+IF(Blad4!AF10="S. Pérez",16,0)+IF(Blad4!AF10="L. Stroll",16,0)+IF(Blad4!AH10="S. Pérez",17,0)+IF(Blad4!AH10="L. Stroll",17,0)+IF(Blad4!AJ10="S. Pérez",18,0)+IF(Blad4!AJ10="L. Stroll",18,0)+IF(Blad4!AL10="S. Pérez",19,0)+IF(Blad4!AL10="L. Stroll",19,0)+IF(Blad4!AN10="S. Pérez",20,0)+IF(Blad4!AN10="L. Stroll",20,0))/2</f>
        <v>13.5</v>
      </c>
      <c r="AK15" s="680">
        <f>(IF(Blad4!B11="S. Pérez",1,0)+IF(Blad4!B11="L. Stroll",1,0)+IF(Blad4!D11="S. Pérez",2,0)+IF(Blad4!D11="L. Stroll",2,0)+IF(Blad4!F11="S. Pérez",3,0)+IF(Blad4!F11="L. Stroll",3,0)+IF(Blad4!H11="S. Pérez",4,0)+IF(Blad4!H11="L. Stroll",4,0)+IF(Blad4!J11="S. Pérez",5,0)+IF(Blad4!J11="L. Stroll",5,0)+IF(Blad4!L11="S. Pérez",6,0)+IF(Blad4!L11="L. Stroll",6,0)+IF(Blad4!N11="S. Pérez",7,0)+IF(Blad4!N11="L. Stroll",7,0)+IF(Blad4!P11="S. Pérez",8,0)+IF(Blad4!P11="L. Stroll",8,0)+IF(Blad4!R11="S. Pérez",9,0)+IF(Blad4!R11="L. Stroll",9,0)+IF(Blad4!T11="S. Pérez",10,0)+IF(Blad4!T11="L. Stroll",10,0)+IF(Blad4!V11="S. Pérez",11,0)+IF(Blad4!V11="L. Stroll",11,0)+IF(Blad4!X11="S. Pérez",12,0)+IF(Blad4!X11="L. Stroll",12,0)+IF(Blad4!Z11="S. Pérez",13,0)+IF(Blad4!Z11="L. Stroll",13,0)+IF(Blad4!AB11="S. Pérez",14,0)+IF(Blad4!AB11="L. Stroll",14,0)+IF(Blad4!AD11="S. Pérez",15,0)+IF(Blad4!AD11="L. Stroll",15,0)+IF(Blad4!AF11="S. Pérez",16,0)+IF(Blad4!AF11="L. Stroll",16,0)+IF(Blad4!AH11="S. Pérez",17,0)+IF(Blad4!AH11="L. Stroll",17,0)+IF(Blad4!AJ11="S. Pérez",18,0)+IF(Blad4!AJ11="L. Stroll",18,0)+IF(Blad4!AL11="S. Pérez",19,0)+IF(Blad4!AL11="L. Stroll",19,0)+IF(Blad4!AN11="S. Pérez",20,0)+IF(Blad4!AN11="L. Stroll",20,0))/2</f>
        <v>16.5</v>
      </c>
      <c r="AL15" s="680">
        <f>(IF(Blad4!B12="S. Pérez",1,0)+IF(Blad4!B12="L. Stroll",1,0)+IF(Blad4!D12="S. Pérez",2,0)+IF(Blad4!D12="L. Stroll",2,0)+IF(Blad4!F12="S. Pérez",3,0)+IF(Blad4!F12="L. Stroll",3,0)+IF(Blad4!H12="S. Pérez",4,0)+IF(Blad4!H12="L. Stroll",4,0)+IF(Blad4!J12="S. Pérez",5,0)+IF(Blad4!J12="L. Stroll",5,0)+IF(Blad4!L12="S. Pérez",6,0)+IF(Blad4!L12="L. Stroll",6,0)+IF(Blad4!N12="S. Pérez",7,0)+IF(Blad4!N12="L. Stroll",7,0)+IF(Blad4!P12="S. Pérez",8,0)+IF(Blad4!P12="L. Stroll",8,0)+IF(Blad4!R12="S. Pérez",9,0)+IF(Blad4!R12="L. Stroll",9,0)+IF(Blad4!T12="S. Pérez",10,0)+IF(Blad4!T12="L. Stroll",10,0)+IF(Blad4!V12="S. Pérez",11,0)+IF(Blad4!V12="L. Stroll",11,0)+IF(Blad4!X12="S. Pérez",12,0)+IF(Blad4!X12="L. Stroll",12,0)+IF(Blad4!Z12="S. Pérez",13,0)+IF(Blad4!Z12="L. Stroll",13,0)+IF(Blad4!AB12="S. Pérez",14,0)+IF(Blad4!AB12="L. Stroll",14,0)+IF(Blad4!AD12="S. Pérez",15,0)+IF(Blad4!AD12="L. Stroll",15,0)+IF(Blad4!AF12="S. Pérez",16,0)+IF(Blad4!AF12="L. Stroll",16,0)+IF(Blad4!AH12="S. Pérez",17,0)+IF(Blad4!AH12="L. Stroll",17,0)+IF(Blad4!AJ12="S. Pérez",18,0)+IF(Blad4!AJ12="L. Stroll",18,0)+IF(Blad4!AL12="S. Pérez",19,0)+IF(Blad4!AL12="L. Stroll",19,0)+IF(Blad4!AN12="S. Pérez",20,0)+IF(Blad4!AN12="L. Stroll",20,0))/2</f>
        <v>11.5</v>
      </c>
      <c r="AM15" s="680">
        <f>(IF(Blad4!B13="S. Pérez",1,0)+IF(Blad4!B13="L. Stroll",1,0)+IF(Blad4!D13="S. Pérez",2,0)+IF(Blad4!D13="L. Stroll",2,0)+IF(Blad4!F13="S. Pérez",3,0)+IF(Blad4!F13="L. Stroll",3,0)+IF(Blad4!H13="S. Pérez",4,0)+IF(Blad4!H13="L. Stroll",4,0)+IF(Blad4!J13="S. Pérez",5,0)+IF(Blad4!J13="L. Stroll",5,0)+IF(Blad4!L13="S. Pérez",6,0)+IF(Blad4!L13="L. Stroll",6,0)+IF(Blad4!N13="S. Pérez",7,0)+IF(Blad4!N13="L. Stroll",7,0)+IF(Blad4!P13="S. Pérez",8,0)+IF(Blad4!P13="L. Stroll",8,0)+IF(Blad4!R13="S. Pérez",9,0)+IF(Blad4!R13="L. Stroll",9,0)+IF(Blad4!T13="S. Pérez",10,0)+IF(Blad4!T13="L. Stroll",10,0)+IF(Blad4!V13="S. Pérez",11,0)+IF(Blad4!V13="L. Stroll",11,0)+IF(Blad4!X13="S. Pérez",12,0)+IF(Blad4!X13="L. Stroll",12,0)+IF(Blad4!Z13="S. Pérez",13,0)+IF(Blad4!Z13="L. Stroll",13,0)+IF(Blad4!AB13="S. Pérez",14,0)+IF(Blad4!AB13="L. Stroll",14,0)+IF(Blad4!AD13="S. Pérez",15,0)+IF(Blad4!AD13="L. Stroll",15,0)+IF(Blad4!AF13="S. Pérez",16,0)+IF(Blad4!AF13="L. Stroll",16,0)+IF(Blad4!AH13="S. Pérez",17,0)+IF(Blad4!AH13="L. Stroll",17,0)+IF(Blad4!AJ13="S. Pérez",18,0)+IF(Blad4!AJ13="L. Stroll",18,0)+IF(Blad4!AL13="S. Pérez",19,0)+IF(Blad4!AL13="L. Stroll",19,0)+IF(Blad4!AN13="S. Pérez",20,0)+IF(Blad4!AN13="L. Stroll",20,0))/2</f>
        <v>17</v>
      </c>
      <c r="AN15" s="680">
        <f>(IF(Blad4!B14="S. Pérez",1,0)+IF(Blad4!B14="L. Stroll",1,0)+IF(Blad4!D14="S. Pérez",2,0)+IF(Blad4!D14="L. Stroll",2,0)+IF(Blad4!F14="S. Pérez",3,0)+IF(Blad4!F14="L. Stroll",3,0)+IF(Blad4!H14="S. Pérez",4,0)+IF(Blad4!H14="L. Stroll",4,0)+IF(Blad4!J14="S. Pérez",5,0)+IF(Blad4!J14="L. Stroll",5,0)+IF(Blad4!L14="S. Pérez",6,0)+IF(Blad4!L14="L. Stroll",6,0)+IF(Blad4!N14="S. Pérez",7,0)+IF(Blad4!N14="L. Stroll",7,0)+IF(Blad4!P14="S. Pérez",8,0)+IF(Blad4!P14="L. Stroll",8,0)+IF(Blad4!R14="S. Pérez",9,0)+IF(Blad4!R14="L. Stroll",9,0)+IF(Blad4!T14="S. Pérez",10,0)+IF(Blad4!T14="L. Stroll",10,0)+IF(Blad4!V14="S. Pérez",11,0)+IF(Blad4!V14="L. Stroll",11,0)+IF(Blad4!X14="S. Pérez",12,0)+IF(Blad4!X14="L. Stroll",12,0)+IF(Blad4!Z14="S. Pérez",13,0)+IF(Blad4!Z14="L. Stroll",13,0)+IF(Blad4!AB14="S. Pérez",14,0)+IF(Blad4!AB14="L. Stroll",14,0)+IF(Blad4!AD14="S. Pérez",15,0)+IF(Blad4!AD14="L. Stroll",15,0)+IF(Blad4!AF14="S. Pérez",16,0)+IF(Blad4!AF14="L. Stroll",16,0)+IF(Blad4!AH14="S. Pérez",17,0)+IF(Blad4!AH14="L. Stroll",17,0)+IF(Blad4!AJ14="S. Pérez",18,0)+IF(Blad4!AJ14="L. Stroll",18,0)+IF(Blad4!AL14="S. Pérez",19,0)+IF(Blad4!AL14="L. Stroll",19,0)+IF(Blad4!AN14="S. Pérez",20,0)+IF(Blad4!AN14="L. Stroll",20,0))/2</f>
        <v>11.5</v>
      </c>
      <c r="AO15" s="680">
        <f>(IF(Blad4!B15="S. Pérez",1,0)+IF(Blad4!B15="L. Stroll",1,0)+IF(Blad4!D15="S. Pérez",2,0)+IF(Blad4!D15="L. Stroll",2,0)+IF(Blad4!F15="S. Pérez",3,0)+IF(Blad4!F15="L. Stroll",3,0)+IF(Blad4!H15="S. Pérez",4,0)+IF(Blad4!H15="L. Stroll",4,0)+IF(Blad4!J15="S. Pérez",5,0)+IF(Blad4!J15="L. Stroll",5,0)+IF(Blad4!L15="S. Pérez",6,0)+IF(Blad4!L15="L. Stroll",6,0)+IF(Blad4!N15="S. Pérez",7,0)+IF(Blad4!N15="L. Stroll",7,0)+IF(Blad4!P15="S. Pérez",8,0)+IF(Blad4!P15="L. Stroll",8,0)+IF(Blad4!R15="S. Pérez",9,0)+IF(Blad4!R15="L. Stroll",9,0)+IF(Blad4!T15="S. Pérez",10,0)+IF(Blad4!T15="L. Stroll",10,0)+IF(Blad4!V15="S. Pérez",11,0)+IF(Blad4!V15="L. Stroll",11,0)+IF(Blad4!X15="S. Pérez",12,0)+IF(Blad4!X15="L. Stroll",12,0)+IF(Blad4!Z15="S. Pérez",13,0)+IF(Blad4!Z15="L. Stroll",13,0)+IF(Blad4!AB15="S. Pérez",14,0)+IF(Blad4!AB15="L. Stroll",14,0)+IF(Blad4!AD15="S. Pérez",15,0)+IF(Blad4!AD15="L. Stroll",15,0)+IF(Blad4!AF15="S. Pérez",16,0)+IF(Blad4!AF15="L. Stroll",16,0)+IF(Blad4!AH15="S. Pérez",17,0)+IF(Blad4!AH15="L. Stroll",17,0)+IF(Blad4!AJ15="S. Pérez",18,0)+IF(Blad4!AJ15="L. Stroll",18,0)+IF(Blad4!AL15="S. Pérez",19,0)+IF(Blad4!AL15="L. Stroll",19,0)+IF(Blad4!AN15="S. Pérez",20,0)+IF(Blad4!AN15="L. Stroll",20,0))/2</f>
        <v>13.5</v>
      </c>
      <c r="AP15" s="680"/>
      <c r="AQ15" s="680"/>
      <c r="AR15" s="680"/>
      <c r="AS15" s="680"/>
      <c r="AT15" s="680"/>
      <c r="AU15" s="680"/>
      <c r="AV15" s="681"/>
    </row>
    <row r="16" spans="3:48" x14ac:dyDescent="0.2">
      <c r="AA16" s="669" t="s">
        <v>545</v>
      </c>
      <c r="AB16" s="679">
        <f>(IF(Blad4!B2="K. Raïkkönen",1,0)+IF(Blad4!B2="A. Giovinazzi",1,0)+IF(Blad4!D2="K. Raïkkönen",2,0)+IF(Blad4!D2="A. Giovinazzi",2,0)+IF(Blad4!F2="K. Raïkkönen",3,0)+IF(Blad4!F2="A. Giovinazzi",3,0)+IF(Blad4!H2="K. Raïkkönen",4,0)+IF(Blad4!H2="A. Giovinazzi",4,0)+IF(Blad4!J2="K. Raïkkönen",5,0)+IF(Blad4!J2="A. Giovinazzi",5,0)+IF(Blad4!L2="K. Raïkkönen",6,0)+IF(Blad4!L2="A. Giovinazzi",6,0)+IF(Blad4!N2="K. Raïkkönen",7,0)+IF(Blad4!N2="A. Giovinazzi",7,0)+IF(Blad4!P2="K. Raïkkönen",8,0)+IF(Blad4!P2="A. Giovinazzi",8,0)+IF(Blad4!R2="K. Raïkkönen",9,0)+IF(Blad4!R2="A. Giovinazzi",9,0)+IF(Blad4!T2="K. Raïkkönen",10,0)+IF(Blad4!T2="A. Giovinazzi",10,0)+IF(Blad4!V2="K. Raïkkönen",11,0)+IF(Blad4!V2="A. Giovinazzi",11,0)+IF(Blad4!X2="K. Raïkkönen",12,0)+IF(Blad4!X2="A. Giovinazzi",12,0)+IF(Blad4!Z2="K. Raïkkönen",13,0)+IF(Blad4!Z2="A. Giovinazzi",13,0)+IF(Blad4!AB2="K. Raïkkönen",14,0)+IF(Blad4!AB2="A. Giovinazzi",14,0)+IF(Blad4!AD2="K. Raïkkönen",15,0)+IF(Blad4!AD2="A. Giovinazzi",15,0)+IF(Blad4!AF2="K. Raïkkönen",16,0)+IF(Blad4!AF2="A. Giovinazzi",16,0)+IF(Blad4!AH2="K. Raïkkönen",17,0)+IF(Blad4!AH2="A. Giovinazzi",17,0)+IF(Blad4!AJ2="K. Raïkkönen",18,0)+IF(Blad4!AJ2="A. Giovinazzi",18,0)+IF(Blad4!AL2="K. Raïkkönen",19,0)+IF(Blad4!AL2="A. Giovinazzi",19,0)+IF(Blad4!AN2="K. Raïkkönen",20,0)+IF(Blad4!AN2="A. Giovinazzi",20,0))/2</f>
        <v>11.5</v>
      </c>
      <c r="AC16" s="680">
        <f>(IF(Blad4!B3="K. Raïkkönen",1,0)+IF(Blad4!B3="A. Giovinazzi",1,0)+IF(Blad4!D3="K. Raïkkönen",2,0)+IF(Blad4!D3="A. Giovinazzi",2,0)+IF(Blad4!F3="K. Raïkkönen",3,0)+IF(Blad4!F3="A. Giovinazzi",3,0)+IF(Blad4!H3="K. Raïkkönen",4,0)+IF(Blad4!H3="A. Giovinazzi",4,0)+IF(Blad4!J3="K. Raïkkönen",5,0)+IF(Blad4!J3="A. Giovinazzi",5,0)+IF(Blad4!L3="K. Raïkkönen",6,0)+IF(Blad4!L3="A. Giovinazzi",6,0)+IF(Blad4!N3="K. Raïkkönen",7,0)+IF(Blad4!N3="A. Giovinazzi",7,0)+IF(Blad4!P3="K. Raïkkönen",8,0)+IF(Blad4!P3="A. Giovinazzi",8,0)+IF(Blad4!R3="K. Raïkkönen",9,0)+IF(Blad4!R3="A. Giovinazzi",9,0)+IF(Blad4!T3="K. Raïkkönen",10,0)+IF(Blad4!T3="A. Giovinazzi",10,0)+IF(Blad4!V3="K. Raïkkönen",11,0)+IF(Blad4!V3="A. Giovinazzi",11,0)+IF(Blad4!X3="K. Raïkkönen",12,0)+IF(Blad4!X3="A. Giovinazzi",12,0)+IF(Blad4!Z3="K. Raïkkönen",13,0)+IF(Blad4!Z3="A. Giovinazzi",13,0)+IF(Blad4!AB3="K. Raïkkönen",14,0)+IF(Blad4!AB3="A. Giovinazzi",14,0)+IF(Blad4!AD3="K. Raïkkönen",15,0)+IF(Blad4!AD3="A. Giovinazzi",15,0)+IF(Blad4!AF3="K. Raïkkönen",16,0)+IF(Blad4!AF3="A. Giovinazzi",16,0)+IF(Blad4!AH3="K. Raïkkönen",17,0)+IF(Blad4!AH3="A. Giovinazzi",17,0)+IF(Blad4!AJ3="K. Raïkkönen",18,0)+IF(Blad4!AJ3="A. Giovinazzi",18,0)+IF(Blad4!AL3="K. Raïkkönen",19,0)+IF(Blad4!AL3="A. Giovinazzi",19,0)+IF(Blad4!AN3="K. Raïkkönen",20,0)+IF(Blad4!AN3="A. Giovinazzi",20,0))/2</f>
        <v>12</v>
      </c>
      <c r="AD16" s="680">
        <f>(IF(Blad4!B4="K. Raïkkönen",1,0)+IF(Blad4!B4="A. Giovinazzi",1,0)+IF(Blad4!D4="K. Raïkkönen",2,0)+IF(Blad4!D4="A. Giovinazzi",2,0)+IF(Blad4!F4="K. Raïkkönen",3,0)+IF(Blad4!F4="A. Giovinazzi",3,0)+IF(Blad4!H4="K. Raïkkönen",4,0)+IF(Blad4!H4="A. Giovinazzi",4,0)+IF(Blad4!J4="K. Raïkkönen",5,0)+IF(Blad4!J4="A. Giovinazzi",5,0)+IF(Blad4!L4="K. Raïkkönen",6,0)+IF(Blad4!L4="A. Giovinazzi",6,0)+IF(Blad4!N4="K. Raïkkönen",7,0)+IF(Blad4!N4="A. Giovinazzi",7,0)+IF(Blad4!P4="K. Raïkkönen",8,0)+IF(Blad4!P4="A. Giovinazzi",8,0)+IF(Blad4!R4="K. Raïkkönen",9,0)+IF(Blad4!R4="A. Giovinazzi",9,0)+IF(Blad4!T4="K. Raïkkönen",10,0)+IF(Blad4!T4="A. Giovinazzi",10,0)+IF(Blad4!V4="K. Raïkkönen",11,0)+IF(Blad4!V4="A. Giovinazzi",11,0)+IF(Blad4!X4="K. Raïkkönen",12,0)+IF(Blad4!X4="A. Giovinazzi",12,0)+IF(Blad4!Z4="K. Raïkkönen",13,0)+IF(Blad4!Z4="A. Giovinazzi",13,0)+IF(Blad4!AB4="K. Raïkkönen",14,0)+IF(Blad4!AB4="A. Giovinazzi",14,0)+IF(Blad4!AD4="K. Raïkkönen",15,0)+IF(Blad4!AD4="A. Giovinazzi",15,0)+IF(Blad4!AF4="K. Raïkkönen",16,0)+IF(Blad4!AF4="A. Giovinazzi",16,0)+IF(Blad4!AH4="K. Raïkkönen",17,0)+IF(Blad4!AH4="A. Giovinazzi",17,0)+IF(Blad4!AJ4="K. Raïkkönen",18,0)+IF(Blad4!AJ4="A. Giovinazzi",18,0)+IF(Blad4!AL4="K. Raïkkönen",19,0)+IF(Blad4!AL4="A. Giovinazzi",19,0)+IF(Blad4!AN4="K. Raïkkönen",20,0)+IF(Blad4!AN4="A. Giovinazzi",20,0))/2</f>
        <v>16</v>
      </c>
      <c r="AE16" s="680">
        <f>(IF(Blad4!B5="K. Raïkkönen",1,0)+IF(Blad4!B5="A. Giovinazzi",1,0)+IF(Blad4!D5="K. Raïkkönen",2,0)+IF(Blad4!D5="A. Giovinazzi",2,0)+IF(Blad4!F5="K. Raïkkönen",3,0)+IF(Blad4!F5="A. Giovinazzi",3,0)+IF(Blad4!H5="K. Raïkkönen",4,0)+IF(Blad4!H5="A. Giovinazzi",4,0)+IF(Blad4!J5="K. Raïkkönen",5,0)+IF(Blad4!J5="A. Giovinazzi",5,0)+IF(Blad4!L5="K. Raïkkönen",6,0)+IF(Blad4!L5="A. Giovinazzi",6,0)+IF(Blad4!N5="K. Raïkkönen",7,0)+IF(Blad4!N5="A. Giovinazzi",7,0)+IF(Blad4!P5="K. Raïkkönen",8,0)+IF(Blad4!P5="A. Giovinazzi",8,0)+IF(Blad4!R5="K. Raïkkönen",9,0)+IF(Blad4!R5="A. Giovinazzi",9,0)+IF(Blad4!T5="K. Raïkkönen",10,0)+IF(Blad4!T5="A. Giovinazzi",10,0)+IF(Blad4!V5="K. Raïkkönen",11,0)+IF(Blad4!V5="A. Giovinazzi",11,0)+IF(Blad4!X5="K. Raïkkönen",12,0)+IF(Blad4!X5="A. Giovinazzi",12,0)+IF(Blad4!Z5="K. Raïkkönen",13,0)+IF(Blad4!Z5="A. Giovinazzi",13,0)+IF(Blad4!AB5="K. Raïkkönen",14,0)+IF(Blad4!AB5="A. Giovinazzi",14,0)+IF(Blad4!AD5="K. Raïkkönen",15,0)+IF(Blad4!AD5="A. Giovinazzi",15,0)+IF(Blad4!AF5="K. Raïkkönen",16,0)+IF(Blad4!AF5="A. Giovinazzi",16,0)+IF(Blad4!AH5="K. Raïkkönen",17,0)+IF(Blad4!AH5="A. Giovinazzi",17,0)+IF(Blad4!AJ5="K. Raïkkönen",18,0)+IF(Blad4!AJ5="A. Giovinazzi",18,0)+IF(Blad4!AL5="K. Raïkkönen",19,0)+IF(Blad4!AL5="A. Giovinazzi",19,0)+IF(Blad4!AN5="K. Raïkkönen",20,0)+IF(Blad4!AN5="A. Giovinazzi",20,0))/2</f>
        <v>18</v>
      </c>
      <c r="AF16" s="680">
        <f>(IF(Blad4!B6="K. Raïkkönen",1,0)+IF(Blad4!B6="A. Giovinazzi",1,0)+IF(Blad4!D6="K. Raïkkönen",2,0)+IF(Blad4!D6="A. Giovinazzi",2,0)+IF(Blad4!F6="K. Raïkkönen",3,0)+IF(Blad4!F6="A. Giovinazzi",3,0)+IF(Blad4!H6="K. Raïkkönen",4,0)+IF(Blad4!H6="A. Giovinazzi",4,0)+IF(Blad4!J6="K. Raïkkönen",5,0)+IF(Blad4!J6="A. Giovinazzi",5,0)+IF(Blad4!L6="K. Raïkkönen",6,0)+IF(Blad4!L6="A. Giovinazzi",6,0)+IF(Blad4!N6="K. Raïkkönen",7,0)+IF(Blad4!N6="A. Giovinazzi",7,0)+IF(Blad4!P6="K. Raïkkönen",8,0)+IF(Blad4!P6="A. Giovinazzi",8,0)+IF(Blad4!R6="K. Raïkkönen",9,0)+IF(Blad4!R6="A. Giovinazzi",9,0)+IF(Blad4!T6="K. Raïkkönen",10,0)+IF(Blad4!T6="A. Giovinazzi",10,0)+IF(Blad4!V6="K. Raïkkönen",11,0)+IF(Blad4!V6="A. Giovinazzi",11,0)+IF(Blad4!X6="K. Raïkkönen",12,0)+IF(Blad4!X6="A. Giovinazzi",12,0)+IF(Blad4!Z6="K. Raïkkönen",13,0)+IF(Blad4!Z6="A. Giovinazzi",13,0)+IF(Blad4!AB6="K. Raïkkönen",14,0)+IF(Blad4!AB6="A. Giovinazzi",14,0)+IF(Blad4!AD6="K. Raïkkönen",15,0)+IF(Blad4!AD6="A. Giovinazzi",15,0)+IF(Blad4!AF6="K. Raïkkönen",16,0)+IF(Blad4!AF6="A. Giovinazzi",16,0)+IF(Blad4!AH6="K. Raïkkönen",17,0)+IF(Blad4!AH6="A. Giovinazzi",17,0)+IF(Blad4!AJ6="K. Raïkkönen",18,0)+IF(Blad4!AJ6="A. Giovinazzi",18,0)+IF(Blad4!AL6="K. Raïkkönen",19,0)+IF(Blad4!AL6="A. Giovinazzi",19,0)+IF(Blad4!AN6="K. Raïkkönen",20,0)+IF(Blad4!AN6="A. Giovinazzi",20,0))/2</f>
        <v>16</v>
      </c>
      <c r="AG16" s="680">
        <f>(IF(Blad4!B7="K. Raïkkönen",1,0)+IF(Blad4!B7="A. Giovinazzi",1,0)+IF(Blad4!D7="K. Raïkkönen",2,0)+IF(Blad4!D7="A. Giovinazzi",2,0)+IF(Blad4!F7="K. Raïkkönen",3,0)+IF(Blad4!F7="A. Giovinazzi",3,0)+IF(Blad4!H7="K. Raïkkönen",4,0)+IF(Blad4!H7="A. Giovinazzi",4,0)+IF(Blad4!J7="K. Raïkkönen",5,0)+IF(Blad4!J7="A. Giovinazzi",5,0)+IF(Blad4!L7="K. Raïkkönen",6,0)+IF(Blad4!L7="A. Giovinazzi",6,0)+IF(Blad4!N7="K. Raïkkönen",7,0)+IF(Blad4!N7="A. Giovinazzi",7,0)+IF(Blad4!P7="K. Raïkkönen",8,0)+IF(Blad4!P7="A. Giovinazzi",8,0)+IF(Blad4!R7="K. Raïkkönen",9,0)+IF(Blad4!R7="A. Giovinazzi",9,0)+IF(Blad4!T7="K. Raïkkönen",10,0)+IF(Blad4!T7="A. Giovinazzi",10,0)+IF(Blad4!V7="K. Raïkkönen",11,0)+IF(Blad4!V7="A. Giovinazzi",11,0)+IF(Blad4!X7="K. Raïkkönen",12,0)+IF(Blad4!X7="A. Giovinazzi",12,0)+IF(Blad4!Z7="K. Raïkkönen",13,0)+IF(Blad4!Z7="A. Giovinazzi",13,0)+IF(Blad4!AB7="K. Raïkkönen",14,0)+IF(Blad4!AB7="A. Giovinazzi",14,0)+IF(Blad4!AD7="K. Raïkkönen",15,0)+IF(Blad4!AD7="A. Giovinazzi",15,0)+IF(Blad4!AF7="K. Raïkkönen",16,0)+IF(Blad4!AF7="A. Giovinazzi",16,0)+IF(Blad4!AH7="K. Raïkkönen",17,0)+IF(Blad4!AH7="A. Giovinazzi",17,0)+IF(Blad4!AJ7="K. Raïkkönen",18,0)+IF(Blad4!AJ7="A. Giovinazzi",18,0)+IF(Blad4!AL7="K. Raïkkönen",19,0)+IF(Blad4!AL7="A. Giovinazzi",19,0)+IF(Blad4!AN7="K. Raïkkönen",20,0)+IF(Blad4!AN7="A. Giovinazzi",20,0))/2</f>
        <v>16</v>
      </c>
      <c r="AH16" s="680">
        <f>(IF(Blad4!B8="K. Raïkkönen",1,0)+IF(Blad4!B8="A. Giovinazzi",1,0)+IF(Blad4!D8="K. Raïkkönen",2,0)+IF(Blad4!D8="A. Giovinazzi",2,0)+IF(Blad4!F8="K. Raïkkönen",3,0)+IF(Blad4!F8="A. Giovinazzi",3,0)+IF(Blad4!H8="K. Raïkkönen",4,0)+IF(Blad4!H8="A. Giovinazzi",4,0)+IF(Blad4!J8="K. Raïkkönen",5,0)+IF(Blad4!J8="A. Giovinazzi",5,0)+IF(Blad4!L8="K. Raïkkönen",6,0)+IF(Blad4!L8="A. Giovinazzi",6,0)+IF(Blad4!N8="K. Raïkkönen",7,0)+IF(Blad4!N8="A. Giovinazzi",7,0)+IF(Blad4!P8="K. Raïkkönen",8,0)+IF(Blad4!P8="A. Giovinazzi",8,0)+IF(Blad4!R8="K. Raïkkönen",9,0)+IF(Blad4!R8="A. Giovinazzi",9,0)+IF(Blad4!T8="K. Raïkkönen",10,0)+IF(Blad4!T8="A. Giovinazzi",10,0)+IF(Blad4!V8="K. Raïkkönen",11,0)+IF(Blad4!V8="A. Giovinazzi",11,0)+IF(Blad4!X8="K. Raïkkönen",12,0)+IF(Blad4!X8="A. Giovinazzi",12,0)+IF(Blad4!Z8="K. Raïkkönen",13,0)+IF(Blad4!Z8="A. Giovinazzi",13,0)+IF(Blad4!AB8="K. Raïkkönen",14,0)+IF(Blad4!AB8="A. Giovinazzi",14,0)+IF(Blad4!AD8="K. Raïkkönen",15,0)+IF(Blad4!AD8="A. Giovinazzi",15,0)+IF(Blad4!AF8="K. Raïkkönen",16,0)+IF(Blad4!AF8="A. Giovinazzi",16,0)+IF(Blad4!AH8="K. Raïkkönen",17,0)+IF(Blad4!AH8="A. Giovinazzi",17,0)+IF(Blad4!AJ8="K. Raïkkönen",18,0)+IF(Blad4!AJ8="A. Giovinazzi",18,0)+IF(Blad4!AL8="K. Raïkkönen",19,0)+IF(Blad4!AL8="A. Giovinazzi",19,0)+IF(Blad4!AN8="K. Raïkkönen",20,0)+IF(Blad4!AN8="A. Giovinazzi",20,0))/2</f>
        <v>14</v>
      </c>
      <c r="AI16" s="680">
        <f>(IF(Blad4!B9="K. Raïkkönen",1,0)+IF(Blad4!B9="A. Giovinazzi",1,0)+IF(Blad4!D9="K. Raïkkönen",2,0)+IF(Blad4!D9="A. Giovinazzi",2,0)+IF(Blad4!F9="K. Raïkkönen",3,0)+IF(Blad4!F9="A. Giovinazzi",3,0)+IF(Blad4!H9="K. Raïkkönen",4,0)+IF(Blad4!H9="A. Giovinazzi",4,0)+IF(Blad4!J9="K. Raïkkönen",5,0)+IF(Blad4!J9="A. Giovinazzi",5,0)+IF(Blad4!L9="K. Raïkkönen",6,0)+IF(Blad4!L9="A. Giovinazzi",6,0)+IF(Blad4!N9="K. Raïkkönen",7,0)+IF(Blad4!N9="A. Giovinazzi",7,0)+IF(Blad4!P9="K. Raïkkönen",8,0)+IF(Blad4!P9="A. Giovinazzi",8,0)+IF(Blad4!R9="K. Raïkkönen",9,0)+IF(Blad4!R9="A. Giovinazzi",9,0)+IF(Blad4!T9="K. Raïkkönen",10,0)+IF(Blad4!T9="A. Giovinazzi",10,0)+IF(Blad4!V9="K. Raïkkönen",11,0)+IF(Blad4!V9="A. Giovinazzi",11,0)+IF(Blad4!X9="K. Raïkkönen",12,0)+IF(Blad4!X9="A. Giovinazzi",12,0)+IF(Blad4!Z9="K. Raïkkönen",13,0)+IF(Blad4!Z9="A. Giovinazzi",13,0)+IF(Blad4!AB9="K. Raïkkönen",14,0)+IF(Blad4!AB9="A. Giovinazzi",14,0)+IF(Blad4!AD9="K. Raïkkönen",15,0)+IF(Blad4!AD9="A. Giovinazzi",15,0)+IF(Blad4!AF9="K. Raïkkönen",16,0)+IF(Blad4!AF9="A. Giovinazzi",16,0)+IF(Blad4!AH9="K. Raïkkönen",17,0)+IF(Blad4!AH9="A. Giovinazzi",17,0)+IF(Blad4!AJ9="K. Raïkkönen",18,0)+IF(Blad4!AJ9="A. Giovinazzi",18,0)+IF(Blad4!AL9="K. Raïkkönen",19,0)+IF(Blad4!AL9="A. Giovinazzi",19,0)+IF(Blad4!AN9="K. Raïkkönen",20,0)+IF(Blad4!AN9="A. Giovinazzi",20,0))/2</f>
        <v>11</v>
      </c>
      <c r="AJ16" s="680">
        <f>(IF(Blad4!B10="K. Raïkkönen",1,0)+IF(Blad4!B10="A. Giovinazzi",1,0)+IF(Blad4!D10="K. Raïkkönen",2,0)+IF(Blad4!D10="A. Giovinazzi",2,0)+IF(Blad4!F10="K. Raïkkönen",3,0)+IF(Blad4!F10="A. Giovinazzi",3,0)+IF(Blad4!H10="K. Raïkkönen",4,0)+IF(Blad4!H10="A. Giovinazzi",4,0)+IF(Blad4!J10="K. Raïkkönen",5,0)+IF(Blad4!J10="A. Giovinazzi",5,0)+IF(Blad4!L10="K. Raïkkönen",6,0)+IF(Blad4!L10="A. Giovinazzi",6,0)+IF(Blad4!N10="K. Raïkkönen",7,0)+IF(Blad4!N10="A. Giovinazzi",7,0)+IF(Blad4!P10="K. Raïkkönen",8,0)+IF(Blad4!P10="A. Giovinazzi",8,0)+IF(Blad4!R10="K. Raïkkönen",9,0)+IF(Blad4!R10="A. Giovinazzi",9,0)+IF(Blad4!T10="K. Raïkkönen",10,0)+IF(Blad4!T10="A. Giovinazzi",10,0)+IF(Blad4!V10="K. Raïkkönen",11,0)+IF(Blad4!V10="A. Giovinazzi",11,0)+IF(Blad4!X10="K. Raïkkönen",12,0)+IF(Blad4!X10="A. Giovinazzi",12,0)+IF(Blad4!Z10="K. Raïkkönen",13,0)+IF(Blad4!Z10="A. Giovinazzi",13,0)+IF(Blad4!AB10="K. Raïkkönen",14,0)+IF(Blad4!AB10="A. Giovinazzi",14,0)+IF(Blad4!AD10="K. Raïkkönen",15,0)+IF(Blad4!AD10="A. Giovinazzi",15,0)+IF(Blad4!AF10="K. Raïkkönen",16,0)+IF(Blad4!AF10="A. Giovinazzi",16,0)+IF(Blad4!AH10="K. Raïkkönen",17,0)+IF(Blad4!AH10="A. Giovinazzi",17,0)+IF(Blad4!AJ10="K. Raïkkönen",18,0)+IF(Blad4!AJ10="A. Giovinazzi",18,0)+IF(Blad4!AL10="K. Raïkkönen",19,0)+IF(Blad4!AL10="A. Giovinazzi",19,0)+IF(Blad4!AN10="K. Raïkkönen",20,0)+IF(Blad4!AN10="A. Giovinazzi",20,0))/2</f>
        <v>6.5</v>
      </c>
      <c r="AK16" s="680">
        <f>(IF(Blad4!B11="K. Raïkkönen",1,0)+IF(Blad4!B11="A. Giovinazzi",1,0)+IF(Blad4!D11="K. Raïkkönen",2,0)+IF(Blad4!D11="A. Giovinazzi",2,0)+IF(Blad4!F11="K. Raïkkönen",3,0)+IF(Blad4!F11="A. Giovinazzi",3,0)+IF(Blad4!H11="K. Raïkkönen",4,0)+IF(Blad4!H11="A. Giovinazzi",4,0)+IF(Blad4!J11="K. Raïkkönen",5,0)+IF(Blad4!J11="A. Giovinazzi",5,0)+IF(Blad4!L11="K. Raïkkönen",6,0)+IF(Blad4!L11="A. Giovinazzi",6,0)+IF(Blad4!N11="K. Raïkkönen",7,0)+IF(Blad4!N11="A. Giovinazzi",7,0)+IF(Blad4!P11="K. Raïkkönen",8,0)+IF(Blad4!P11="A. Giovinazzi",8,0)+IF(Blad4!R11="K. Raïkkönen",9,0)+IF(Blad4!R11="A. Giovinazzi",9,0)+IF(Blad4!T11="K. Raïkkönen",10,0)+IF(Blad4!T11="A. Giovinazzi",10,0)+IF(Blad4!V11="K. Raïkkönen",11,0)+IF(Blad4!V11="A. Giovinazzi",11,0)+IF(Blad4!X11="K. Raïkkönen",12,0)+IF(Blad4!X11="A. Giovinazzi",12,0)+IF(Blad4!Z11="K. Raïkkönen",13,0)+IF(Blad4!Z11="A. Giovinazzi",13,0)+IF(Blad4!AB11="K. Raïkkönen",14,0)+IF(Blad4!AB11="A. Giovinazzi",14,0)+IF(Blad4!AD11="K. Raïkkönen",15,0)+IF(Blad4!AD11="A. Giovinazzi",15,0)+IF(Blad4!AF11="K. Raïkkönen",16,0)+IF(Blad4!AF11="A. Giovinazzi",16,0)+IF(Blad4!AH11="K. Raïkkönen",17,0)+IF(Blad4!AH11="A. Giovinazzi",17,0)+IF(Blad4!AJ11="K. Raïkkönen",18,0)+IF(Blad4!AJ11="A. Giovinazzi",18,0)+IF(Blad4!AL11="K. Raïkkönen",19,0)+IF(Blad4!AL11="A. Giovinazzi",19,0)+IF(Blad4!AN11="K. Raïkkönen",20,0)+IF(Blad4!AN11="A. Giovinazzi",20,0))/2</f>
        <v>11.5</v>
      </c>
      <c r="AL16" s="680">
        <f>(IF(Blad4!B12="K. Raïkkönen",1,0)+IF(Blad4!B12="A. Giovinazzi",1,0)+IF(Blad4!D12="K. Raïkkönen",2,0)+IF(Blad4!D12="A. Giovinazzi",2,0)+IF(Blad4!F12="K. Raïkkönen",3,0)+IF(Blad4!F12="A. Giovinazzi",3,0)+IF(Blad4!H12="K. Raïkkönen",4,0)+IF(Blad4!H12="A. Giovinazzi",4,0)+IF(Blad4!J12="K. Raïkkönen",5,0)+IF(Blad4!J12="A. Giovinazzi",5,0)+IF(Blad4!L12="K. Raïkkönen",6,0)+IF(Blad4!L12="A. Giovinazzi",6,0)+IF(Blad4!N12="K. Raïkkönen",7,0)+IF(Blad4!N12="A. Giovinazzi",7,0)+IF(Blad4!P12="K. Raïkkönen",8,0)+IF(Blad4!P12="A. Giovinazzi",8,0)+IF(Blad4!R12="K. Raïkkönen",9,0)+IF(Blad4!R12="A. Giovinazzi",9,0)+IF(Blad4!T12="K. Raïkkönen",10,0)+IF(Blad4!T12="A. Giovinazzi",10,0)+IF(Blad4!V12="K. Raïkkönen",11,0)+IF(Blad4!V12="A. Giovinazzi",11,0)+IF(Blad4!X12="K. Raïkkönen",12,0)+IF(Blad4!X12="A. Giovinazzi",12,0)+IF(Blad4!Z12="K. Raïkkönen",13,0)+IF(Blad4!Z12="A. Giovinazzi",13,0)+IF(Blad4!AB12="K. Raïkkönen",14,0)+IF(Blad4!AB12="A. Giovinazzi",14,0)+IF(Blad4!AD12="K. Raïkkönen",15,0)+IF(Blad4!AD12="A. Giovinazzi",15,0)+IF(Blad4!AF12="K. Raïkkönen",16,0)+IF(Blad4!AF12="A. Giovinazzi",16,0)+IF(Blad4!AH12="K. Raïkkönen",17,0)+IF(Blad4!AH12="A. Giovinazzi",17,0)+IF(Blad4!AJ12="K. Raïkkönen",18,0)+IF(Blad4!AJ12="A. Giovinazzi",18,0)+IF(Blad4!AL12="K. Raïkkönen",19,0)+IF(Blad4!AL12="A. Giovinazzi",19,0)+IF(Blad4!AN12="K. Raïkkönen",20,0)+IF(Blad4!AN12="A. Giovinazzi",20,0))/2</f>
        <v>8</v>
      </c>
      <c r="AM16" s="680">
        <f>(IF(Blad4!B13="K. Raïkkönen",1,0)+IF(Blad4!B13="A. Giovinazzi",1,0)+IF(Blad4!D13="K. Raïkkönen",2,0)+IF(Blad4!D13="A. Giovinazzi",2,0)+IF(Blad4!F13="K. Raïkkönen",3,0)+IF(Blad4!F13="A. Giovinazzi",3,0)+IF(Blad4!H13="K. Raïkkönen",4,0)+IF(Blad4!H13="A. Giovinazzi",4,0)+IF(Blad4!J13="K. Raïkkönen",5,0)+IF(Blad4!J13="A. Giovinazzi",5,0)+IF(Blad4!L13="K. Raïkkönen",6,0)+IF(Blad4!L13="A. Giovinazzi",6,0)+IF(Blad4!N13="K. Raïkkönen",7,0)+IF(Blad4!N13="A. Giovinazzi",7,0)+IF(Blad4!P13="K. Raïkkönen",8,0)+IF(Blad4!P13="A. Giovinazzi",8,0)+IF(Blad4!R13="K. Raïkkönen",9,0)+IF(Blad4!R13="A. Giovinazzi",9,0)+IF(Blad4!T13="K. Raïkkönen",10,0)+IF(Blad4!T13="A. Giovinazzi",10,0)+IF(Blad4!V13="K. Raïkkönen",11,0)+IF(Blad4!V13="A. Giovinazzi",11,0)+IF(Blad4!X13="K. Raïkkönen",12,0)+IF(Blad4!X13="A. Giovinazzi",12,0)+IF(Blad4!Z13="K. Raïkkönen",13,0)+IF(Blad4!Z13="A. Giovinazzi",13,0)+IF(Blad4!AB13="K. Raïkkönen",14,0)+IF(Blad4!AB13="A. Giovinazzi",14,0)+IF(Blad4!AD13="K. Raïkkönen",15,0)+IF(Blad4!AD13="A. Giovinazzi",15,0)+IF(Blad4!AF13="K. Raïkkönen",16,0)+IF(Blad4!AF13="A. Giovinazzi",16,0)+IF(Blad4!AH13="K. Raïkkönen",17,0)+IF(Blad4!AH13="A. Giovinazzi",17,0)+IF(Blad4!AJ13="K. Raïkkönen",18,0)+IF(Blad4!AJ13="A. Giovinazzi",18,0)+IF(Blad4!AL13="K. Raïkkönen",19,0)+IF(Blad4!AL13="A. Giovinazzi",19,0)+IF(Blad4!AN13="K. Raïkkönen",20,0)+IF(Blad4!AN13="A. Giovinazzi",20,0))/2</f>
        <v>13.5</v>
      </c>
      <c r="AN16" s="680">
        <f>(IF(Blad4!B14="K. Raïkkönen",1,0)+IF(Blad4!B14="A. Giovinazzi",1,0)+IF(Blad4!D14="K. Raïkkönen",2,0)+IF(Blad4!D14="A. Giovinazzi",2,0)+IF(Blad4!F14="K. Raïkkönen",3,0)+IF(Blad4!F14="A. Giovinazzi",3,0)+IF(Blad4!H14="K. Raïkkönen",4,0)+IF(Blad4!H14="A. Giovinazzi",4,0)+IF(Blad4!J14="K. Raïkkönen",5,0)+IF(Blad4!J14="A. Giovinazzi",5,0)+IF(Blad4!L14="K. Raïkkönen",6,0)+IF(Blad4!L14="A. Giovinazzi",6,0)+IF(Blad4!N14="K. Raïkkönen",7,0)+IF(Blad4!N14="A. Giovinazzi",7,0)+IF(Blad4!P14="K. Raïkkönen",8,0)+IF(Blad4!P14="A. Giovinazzi",8,0)+IF(Blad4!R14="K. Raïkkönen",9,0)+IF(Blad4!R14="A. Giovinazzi",9,0)+IF(Blad4!T14="K. Raïkkönen",10,0)+IF(Blad4!T14="A. Giovinazzi",10,0)+IF(Blad4!V14="K. Raïkkönen",11,0)+IF(Blad4!V14="A. Giovinazzi",11,0)+IF(Blad4!X14="K. Raïkkönen",12,0)+IF(Blad4!X14="A. Giovinazzi",12,0)+IF(Blad4!Z14="K. Raïkkönen",13,0)+IF(Blad4!Z14="A. Giovinazzi",13,0)+IF(Blad4!AB14="K. Raïkkönen",14,0)+IF(Blad4!AB14="A. Giovinazzi",14,0)+IF(Blad4!AD14="K. Raïkkönen",15,0)+IF(Blad4!AD14="A. Giovinazzi",15,0)+IF(Blad4!AF14="K. Raïkkönen",16,0)+IF(Blad4!AF14="A. Giovinazzi",16,0)+IF(Blad4!AH14="K. Raïkkönen",17,0)+IF(Blad4!AH14="A. Giovinazzi",17,0)+IF(Blad4!AJ14="K. Raïkkönen",18,0)+IF(Blad4!AJ14="A. Giovinazzi",18,0)+IF(Blad4!AL14="K. Raïkkönen",19,0)+IF(Blad4!AL14="A. Giovinazzi",19,0)+IF(Blad4!AN14="K. Raïkkönen",20,0)+IF(Blad4!AN14="A. Giovinazzi",20,0))/2</f>
        <v>12</v>
      </c>
      <c r="AO16" s="680">
        <f>(IF(Blad4!B15="K. Raïkkönen",1,0)+IF(Blad4!B15="A. Giovinazzi",1,0)+IF(Blad4!D15="K. Raïkkönen",2,0)+IF(Blad4!D15="A. Giovinazzi",2,0)+IF(Blad4!F15="K. Raïkkönen",3,0)+IF(Blad4!F15="A. Giovinazzi",3,0)+IF(Blad4!H15="K. Raïkkönen",4,0)+IF(Blad4!H15="A. Giovinazzi",4,0)+IF(Blad4!J15="K. Raïkkönen",5,0)+IF(Blad4!J15="A. Giovinazzi",5,0)+IF(Blad4!L15="K. Raïkkönen",6,0)+IF(Blad4!L15="A. Giovinazzi",6,0)+IF(Blad4!N15="K. Raïkkönen",7,0)+IF(Blad4!N15="A. Giovinazzi",7,0)+IF(Blad4!P15="K. Raïkkönen",8,0)+IF(Blad4!P15="A. Giovinazzi",8,0)+IF(Blad4!R15="K. Raïkkönen",9,0)+IF(Blad4!R15="A. Giovinazzi",9,0)+IF(Blad4!T15="K. Raïkkönen",10,0)+IF(Blad4!T15="A. Giovinazzi",10,0)+IF(Blad4!V15="K. Raïkkönen",11,0)+IF(Blad4!V15="A. Giovinazzi",11,0)+IF(Blad4!X15="K. Raïkkönen",12,0)+IF(Blad4!X15="A. Giovinazzi",12,0)+IF(Blad4!Z15="K. Raïkkönen",13,0)+IF(Blad4!Z15="A. Giovinazzi",13,0)+IF(Blad4!AB15="K. Raïkkönen",14,0)+IF(Blad4!AB15="A. Giovinazzi",14,0)+IF(Blad4!AD15="K. Raïkkönen",15,0)+IF(Blad4!AD15="A. Giovinazzi",15,0)+IF(Blad4!AF15="K. Raïkkönen",16,0)+IF(Blad4!AF15="A. Giovinazzi",16,0)+IF(Blad4!AH15="K. Raïkkönen",17,0)+IF(Blad4!AH15="A. Giovinazzi",17,0)+IF(Blad4!AJ15="K. Raïkkönen",18,0)+IF(Blad4!AJ15="A. Giovinazzi",18,0)+IF(Blad4!AL15="K. Raïkkönen",19,0)+IF(Blad4!AL15="A. Giovinazzi",19,0)+IF(Blad4!AN15="K. Raïkkönen",20,0)+IF(Blad4!AN15="A. Giovinazzi",20,0))/2</f>
        <v>15</v>
      </c>
      <c r="AP16" s="680"/>
      <c r="AQ16" s="680"/>
      <c r="AR16" s="680"/>
      <c r="AS16" s="680"/>
      <c r="AT16" s="680"/>
      <c r="AU16" s="680"/>
      <c r="AV16" s="681"/>
    </row>
    <row r="17" spans="27:49" x14ac:dyDescent="0.2">
      <c r="AA17" s="669" t="s">
        <v>356</v>
      </c>
      <c r="AB17" s="679">
        <f>(IF(Blad4!B2="D. Kvyat",1,0)+IF(Blad4!B2="A. Albon",1,0)+IF(Blad4!D2="D. Kvyat",2,0)+IF(Blad4!D2="A. Albon",2,0)+IF(Blad4!F2="D. Kvyat",3,0)+IF(Blad4!F2="A. Albon",3,0)+IF(Blad4!H2="D. Kvyat",4,0)+IF(Blad4!H2="A. Albon",4,0)+IF(Blad4!J2="D. Kvyat",5,0)+IF(Blad4!J2="A. Albon",5,0)+IF(Blad4!L2="D. Kvyat",6,0)+IF(Blad4!L2="A. Albon",6,0)+IF(Blad4!N2="D. Kvyat",7,0)+IF(Blad4!N2="A. Albon",7,0)+IF(Blad4!P2="D. Kvyat",8,0)+IF(Blad4!P2="A. Albon",8,0)+IF(Blad4!R2="D. Kvyat",9,0)+IF(Blad4!R2="A. Albon",9,0)+IF(Blad4!T2="D. Kvyat",10,0)+IF(Blad4!T2="A. Albon",10,0)+IF(Blad4!V2="D. Kvyat",11,0)+IF(Blad4!V2="A. Albon",11,0)+IF(Blad4!X2="D. Kvyat",12,0)+IF(Blad4!X2="A. Albon",12,0)+IF(Blad4!Z2="D. Kvyat",13,0)+IF(Blad4!Z2="A. Albon",13,0)+IF(Blad4!AB2="D. Kvyat",14,0)+IF(Blad4!AB2="A. Albon",14,0)+IF(Blad4!AD2="D. Kvyat",15,0)+IF(Blad4!AD2="A. Albon",15,0)+IF(Blad4!AF2="D. Kvyat",16,0)+IF(Blad4!AF2="A. Albon",16,0)+IF(Blad4!AH2="D. Kvyat",17,0)+IF(Blad4!AH2="A. Albon",17,0)+IF(Blad4!AJ2="D. Kvyat",18,0)+IF(Blad4!AJ2="A. Albon",18,0)+IF(Blad4!AL2="D. Kvyat",19,0)+IF(Blad4!AL2="A. Albon",19,0)+IF(Blad4!AN2="D. Kvyat",20,0)+IF(Blad4!AN2="A. Albon",20,0))/2</f>
        <v>14</v>
      </c>
      <c r="AC17" s="680">
        <f>(IF(Blad4!B3="D. Kvyat",1,0)+IF(Blad4!B3="A. Albon",1,0)+IF(Blad4!D3="D. Kvyat",2,0)+IF(Blad4!D3="A. Albon",2,0)+IF(Blad4!F3="D. Kvyat",3,0)+IF(Blad4!F3="A. Albon",3,0)+IF(Blad4!H3="D. Kvyat",4,0)+IF(Blad4!H3="A. Albon",4,0)+IF(Blad4!J3="D. Kvyat",5,0)+IF(Blad4!J3="A. Albon",5,0)+IF(Blad4!L3="D. Kvyat",6,0)+IF(Blad4!L3="A. Albon",6,0)+IF(Blad4!N3="D. Kvyat",7,0)+IF(Blad4!N3="A. Albon",7,0)+IF(Blad4!P3="D. Kvyat",8,0)+IF(Blad4!P3="A. Albon",8,0)+IF(Blad4!R3="D. Kvyat",9,0)+IF(Blad4!R3="A. Albon",9,0)+IF(Blad4!T3="D. Kvyat",10,0)+IF(Blad4!T3="A. Albon",10,0)+IF(Blad4!V3="D. Kvyat",11,0)+IF(Blad4!V3="A. Albon",11,0)+IF(Blad4!X3="D. Kvyat",12,0)+IF(Blad4!X3="A. Albon",12,0)+IF(Blad4!Z3="D. Kvyat",13,0)+IF(Blad4!Z3="A. Albon",13,0)+IF(Blad4!AB3="D. Kvyat",14,0)+IF(Blad4!AB3="A. Albon",14,0)+IF(Blad4!AD3="D. Kvyat",15,0)+IF(Blad4!AD3="A. Albon",15,0)+IF(Blad4!AF3="D. Kvyat",16,0)+IF(Blad4!AF3="A. Albon",16,0)+IF(Blad4!AH3="D. Kvyat",17,0)+IF(Blad4!AH3="A. Albon",17,0)+IF(Blad4!AJ3="D. Kvyat",18,0)+IF(Blad4!AJ3="A. Albon",18,0)+IF(Blad4!AL3="D. Kvyat",19,0)+IF(Blad4!AL3="A. Albon",19,0)+IF(Blad4!AN3="D. Kvyat",20,0)+IF(Blad4!AN3="A. Albon",20,0))/2</f>
        <v>13.5</v>
      </c>
      <c r="AD17" s="680">
        <f>(IF(Blad4!B4="D. Kvyat",1,0)+IF(Blad4!B4="A. Albon",1,0)+IF(Blad4!D4="D. Kvyat",2,0)+IF(Blad4!D4="A. Albon",2,0)+IF(Blad4!F4="D. Kvyat",3,0)+IF(Blad4!F4="A. Albon",3,0)+IF(Blad4!H4="D. Kvyat",4,0)+IF(Blad4!H4="A. Albon",4,0)+IF(Blad4!J4="D. Kvyat",5,0)+IF(Blad4!J4="A. Albon",5,0)+IF(Blad4!L4="D. Kvyat",6,0)+IF(Blad4!L4="A. Albon",6,0)+IF(Blad4!N4="D. Kvyat",7,0)+IF(Blad4!N4="A. Albon",7,0)+IF(Blad4!P4="D. Kvyat",8,0)+IF(Blad4!P4="A. Albon",8,0)+IF(Blad4!R4="D. Kvyat",9,0)+IF(Blad4!R4="A. Albon",9,0)+IF(Blad4!T4="D. Kvyat",10,0)+IF(Blad4!T4="A. Albon",10,0)+IF(Blad4!V4="D. Kvyat",11,0)+IF(Blad4!V4="A. Albon",11,0)+IF(Blad4!X4="D. Kvyat",12,0)+IF(Blad4!X4="A. Albon",12,0)+IF(Blad4!Z4="D. Kvyat",13,0)+IF(Blad4!Z4="A. Albon",13,0)+IF(Blad4!AB4="D. Kvyat",14,0)+IF(Blad4!AB4="A. Albon",14,0)+IF(Blad4!AD4="D. Kvyat",15,0)+IF(Blad4!AD4="A. Albon",15,0)+IF(Blad4!AF4="D. Kvyat",16,0)+IF(Blad4!AF4="A. Albon",16,0)+IF(Blad4!AH4="D. Kvyat",17,0)+IF(Blad4!AH4="A. Albon",17,0)+IF(Blad4!AJ4="D. Kvyat",18,0)+IF(Blad4!AJ4="A. Albon",18,0)+IF(Blad4!AL4="D. Kvyat",19,0)+IF(Blad4!AL4="A. Albon",19,0)+IF(Blad4!AN4="D. Kvyat",20,0)+IF(Blad4!AN4="A. Albon",20,0))/2</f>
        <v>15.5</v>
      </c>
      <c r="AE17" s="680">
        <f>(IF(Blad4!B5="D. Kvyat",1,0)+IF(Blad4!B5="A. Albon",1,0)+IF(Blad4!D5="D. Kvyat",2,0)+IF(Blad4!D5="A. Albon",2,0)+IF(Blad4!F5="D. Kvyat",3,0)+IF(Blad4!F5="A. Albon",3,0)+IF(Blad4!H5="D. Kvyat",4,0)+IF(Blad4!H5="A. Albon",4,0)+IF(Blad4!J5="D. Kvyat",5,0)+IF(Blad4!J5="A. Albon",5,0)+IF(Blad4!L5="D. Kvyat",6,0)+IF(Blad4!L5="A. Albon",6,0)+IF(Blad4!N5="D. Kvyat",7,0)+IF(Blad4!N5="A. Albon",7,0)+IF(Blad4!P5="D. Kvyat",8,0)+IF(Blad4!P5="A. Albon",8,0)+IF(Blad4!R5="D. Kvyat",9,0)+IF(Blad4!R5="A. Albon",9,0)+IF(Blad4!T5="D. Kvyat",10,0)+IF(Blad4!T5="A. Albon",10,0)+IF(Blad4!V5="D. Kvyat",11,0)+IF(Blad4!V5="A. Albon",11,0)+IF(Blad4!X5="D. Kvyat",12,0)+IF(Blad4!X5="A. Albon",12,0)+IF(Blad4!Z5="D. Kvyat",13,0)+IF(Blad4!Z5="A. Albon",13,0)+IF(Blad4!AB5="D. Kvyat",14,0)+IF(Blad4!AB5="A. Albon",14,0)+IF(Blad4!AD5="D. Kvyat",15,0)+IF(Blad4!AD5="A. Albon",15,0)+IF(Blad4!AF5="D. Kvyat",16,0)+IF(Blad4!AF5="A. Albon",16,0)+IF(Blad4!AH5="D. Kvyat",17,0)+IF(Blad4!AH5="A. Albon",17,0)+IF(Blad4!AJ5="D. Kvyat",18,0)+IF(Blad4!AJ5="A. Albon",18,0)+IF(Blad4!AL5="D. Kvyat",19,0)+IF(Blad4!AL5="A. Albon",19,0)+IF(Blad4!AN5="D. Kvyat",20,0)+IF(Blad4!AN5="A. Albon",20,0))/2</f>
        <v>8.5</v>
      </c>
      <c r="AF17" s="680">
        <f>(IF(Blad4!B6="D. Kvyat",1,0)+IF(Blad4!B6="A. Albon",1,0)+IF(Blad4!D6="D. Kvyat",2,0)+IF(Blad4!D6="A. Albon",2,0)+IF(Blad4!F6="D. Kvyat",3,0)+IF(Blad4!F6="A. Albon",3,0)+IF(Blad4!H6="D. Kvyat",4,0)+IF(Blad4!H6="A. Albon",4,0)+IF(Blad4!J6="D. Kvyat",5,0)+IF(Blad4!J6="A. Albon",5,0)+IF(Blad4!L6="D. Kvyat",6,0)+IF(Blad4!L6="A. Albon",6,0)+IF(Blad4!N6="D. Kvyat",7,0)+IF(Blad4!N6="A. Albon",7,0)+IF(Blad4!P6="D. Kvyat",8,0)+IF(Blad4!P6="A. Albon",8,0)+IF(Blad4!R6="D. Kvyat",9,0)+IF(Blad4!R6="A. Albon",9,0)+IF(Blad4!T6="D. Kvyat",10,0)+IF(Blad4!T6="A. Albon",10,0)+IF(Blad4!V6="D. Kvyat",11,0)+IF(Blad4!V6="A. Albon",11,0)+IF(Blad4!X6="D. Kvyat",12,0)+IF(Blad4!X6="A. Albon",12,0)+IF(Blad4!Z6="D. Kvyat",13,0)+IF(Blad4!Z6="A. Albon",13,0)+IF(Blad4!AB6="D. Kvyat",14,0)+IF(Blad4!AB6="A. Albon",14,0)+IF(Blad4!AD6="D. Kvyat",15,0)+IF(Blad4!AD6="A. Albon",15,0)+IF(Blad4!AF6="D. Kvyat",16,0)+IF(Blad4!AF6="A. Albon",16,0)+IF(Blad4!AH6="D. Kvyat",17,0)+IF(Blad4!AH6="A. Albon",17,0)+IF(Blad4!AJ6="D. Kvyat",18,0)+IF(Blad4!AJ6="A. Albon",18,0)+IF(Blad4!AL6="D. Kvyat",19,0)+IF(Blad4!AL6="A. Albon",19,0)+IF(Blad4!AN6="D. Kvyat",20,0)+IF(Blad4!AN6="A. Albon",20,0))/2</f>
        <v>10</v>
      </c>
      <c r="AG17" s="680">
        <f>(IF(Blad4!B7="D. Kvyat",1,0)+IF(Blad4!B7="A. Albon",1,0)+IF(Blad4!D7="D. Kvyat",2,0)+IF(Blad4!D7="A. Albon",2,0)+IF(Blad4!F7="D. Kvyat",3,0)+IF(Blad4!F7="A. Albon",3,0)+IF(Blad4!H7="D. Kvyat",4,0)+IF(Blad4!H7="A. Albon",4,0)+IF(Blad4!J7="D. Kvyat",5,0)+IF(Blad4!J7="A. Albon",5,0)+IF(Blad4!L7="D. Kvyat",6,0)+IF(Blad4!L7="A. Albon",6,0)+IF(Blad4!N7="D. Kvyat",7,0)+IF(Blad4!N7="A. Albon",7,0)+IF(Blad4!P7="D. Kvyat",8,0)+IF(Blad4!P7="A. Albon",8,0)+IF(Blad4!R7="D. Kvyat",9,0)+IF(Blad4!R7="A. Albon",9,0)+IF(Blad4!T7="D. Kvyat",10,0)+IF(Blad4!T7="A. Albon",10,0)+IF(Blad4!V7="D. Kvyat",11,0)+IF(Blad4!V7="A. Albon",11,0)+IF(Blad4!X7="D. Kvyat",12,0)+IF(Blad4!X7="A. Albon",12,0)+IF(Blad4!Z7="D. Kvyat",13,0)+IF(Blad4!Z7="A. Albon",13,0)+IF(Blad4!AB7="D. Kvyat",14,0)+IF(Blad4!AB7="A. Albon",14,0)+IF(Blad4!AD7="D. Kvyat",15,0)+IF(Blad4!AD7="A. Albon",15,0)+IF(Blad4!AF7="D. Kvyat",16,0)+IF(Blad4!AF7="A. Albon",16,0)+IF(Blad4!AH7="D. Kvyat",17,0)+IF(Blad4!AH7="A. Albon",17,0)+IF(Blad4!AJ7="D. Kvyat",18,0)+IF(Blad4!AJ7="A. Albon",18,0)+IF(Blad4!AL7="D. Kvyat",19,0)+IF(Blad4!AL7="A. Albon",19,0)+IF(Blad4!AN7="D. Kvyat",20,0)+IF(Blad4!AN7="A. Albon",20,0))/2</f>
        <v>8.5</v>
      </c>
      <c r="AH17" s="680">
        <f>(IF(Blad4!B8="D. Kvyat",1,0)+IF(Blad4!B8="A. Albon",1,0)+IF(Blad4!D8="D. Kvyat",2,0)+IF(Blad4!D8="A. Albon",2,0)+IF(Blad4!F8="D. Kvyat",3,0)+IF(Blad4!F8="A. Albon",3,0)+IF(Blad4!H8="D. Kvyat",4,0)+IF(Blad4!H8="A. Albon",4,0)+IF(Blad4!J8="D. Kvyat",5,0)+IF(Blad4!J8="A. Albon",5,0)+IF(Blad4!L8="D. Kvyat",6,0)+IF(Blad4!L8="A. Albon",6,0)+IF(Blad4!N8="D. Kvyat",7,0)+IF(Blad4!N8="A. Albon",7,0)+IF(Blad4!P8="D. Kvyat",8,0)+IF(Blad4!P8="A. Albon",8,0)+IF(Blad4!R8="D. Kvyat",9,0)+IF(Blad4!R8="A. Albon",9,0)+IF(Blad4!T8="D. Kvyat",10,0)+IF(Blad4!T8="A. Albon",10,0)+IF(Blad4!V8="D. Kvyat",11,0)+IF(Blad4!V8="A. Albon",11,0)+IF(Blad4!X8="D. Kvyat",12,0)+IF(Blad4!X8="A. Albon",12,0)+IF(Blad4!Z8="D. Kvyat",13,0)+IF(Blad4!Z8="A. Albon",13,0)+IF(Blad4!AB8="D. Kvyat",14,0)+IF(Blad4!AB8="A. Albon",14,0)+IF(Blad4!AD8="D. Kvyat",15,0)+IF(Blad4!AD8="A. Albon",15,0)+IF(Blad4!AF8="D. Kvyat",16,0)+IF(Blad4!AF8="A. Albon",16,0)+IF(Blad4!AH8="D. Kvyat",17,0)+IF(Blad4!AH8="A. Albon",17,0)+IF(Blad4!AJ8="D. Kvyat",18,0)+IF(Blad4!AJ8="A. Albon",18,0)+IF(Blad4!AL8="D. Kvyat",19,0)+IF(Blad4!AL8="A. Albon",19,0)+IF(Blad4!AN8="D. Kvyat",20,0)+IF(Blad4!AN8="A. Albon",20,0))/2</f>
        <v>11.5</v>
      </c>
      <c r="AI17" s="680">
        <f>(IF(Blad4!B9="D. Kvyat",1,0)+IF(Blad4!B9="A. Albon",1,0)+IF(Blad4!D9="D. Kvyat",2,0)+IF(Blad4!D9="A. Albon",2,0)+IF(Blad4!F9="D. Kvyat",3,0)+IF(Blad4!F9="A. Albon",3,0)+IF(Blad4!H9="D. Kvyat",4,0)+IF(Blad4!H9="A. Albon",4,0)+IF(Blad4!J9="D. Kvyat",5,0)+IF(Blad4!J9="A. Albon",5,0)+IF(Blad4!L9="D. Kvyat",6,0)+IF(Blad4!L9="A. Albon",6,0)+IF(Blad4!N9="D. Kvyat",7,0)+IF(Blad4!N9="A. Albon",7,0)+IF(Blad4!P9="D. Kvyat",8,0)+IF(Blad4!P9="A. Albon",8,0)+IF(Blad4!R9="D. Kvyat",9,0)+IF(Blad4!R9="A. Albon",9,0)+IF(Blad4!T9="D. Kvyat",10,0)+IF(Blad4!T9="A. Albon",10,0)+IF(Blad4!V9="D. Kvyat",11,0)+IF(Blad4!V9="A. Albon",11,0)+IF(Blad4!X9="D. Kvyat",12,0)+IF(Blad4!X9="A. Albon",12,0)+IF(Blad4!Z9="D. Kvyat",13,0)+IF(Blad4!Z9="A. Albon",13,0)+IF(Blad4!AB9="D. Kvyat",14,0)+IF(Blad4!AB9="A. Albon",14,0)+IF(Blad4!AD9="D. Kvyat",15,0)+IF(Blad4!AD9="A. Albon",15,0)+IF(Blad4!AF9="D. Kvyat",16,0)+IF(Blad4!AF9="A. Albon",16,0)+IF(Blad4!AH9="D. Kvyat",17,0)+IF(Blad4!AH9="A. Albon",17,0)+IF(Blad4!AJ9="D. Kvyat",18,0)+IF(Blad4!AJ9="A. Albon",18,0)+IF(Blad4!AL9="D. Kvyat",19,0)+IF(Blad4!AL9="A. Albon",19,0)+IF(Blad4!AN9="D. Kvyat",20,0)+IF(Blad4!AN9="A. Albon",20,0))/2</f>
        <v>15</v>
      </c>
      <c r="AJ17" s="680">
        <f>(IF(Blad4!B10="D. Kvyat",1,0)+IF(Blad4!B10="A. Albon",1,0)+IF(Blad4!D10="D. Kvyat",2,0)+IF(Blad4!D10="A. Albon",2,0)+IF(Blad4!F10="D. Kvyat",3,0)+IF(Blad4!F10="A. Albon",3,0)+IF(Blad4!H10="D. Kvyat",4,0)+IF(Blad4!H10="A. Albon",4,0)+IF(Blad4!J10="D. Kvyat",5,0)+IF(Blad4!J10="A. Albon",5,0)+IF(Blad4!L10="D. Kvyat",6,0)+IF(Blad4!L10="A. Albon",6,0)+IF(Blad4!N10="D. Kvyat",7,0)+IF(Blad4!N10="A. Albon",7,0)+IF(Blad4!P10="D. Kvyat",8,0)+IF(Blad4!P10="A. Albon",8,0)+IF(Blad4!R10="D. Kvyat",9,0)+IF(Blad4!R10="A. Albon",9,0)+IF(Blad4!T10="D. Kvyat",10,0)+IF(Blad4!T10="A. Albon",10,0)+IF(Blad4!V10="D. Kvyat",11,0)+IF(Blad4!V10="A. Albon",11,0)+IF(Blad4!X10="D. Kvyat",12,0)+IF(Blad4!X10="A. Albon",12,0)+IF(Blad4!Z10="D. Kvyat",13,0)+IF(Blad4!Z10="A. Albon",13,0)+IF(Blad4!AB10="D. Kvyat",14,0)+IF(Blad4!AB10="A. Albon",14,0)+IF(Blad4!AD10="D. Kvyat",15,0)+IF(Blad4!AD10="A. Albon",15,0)+IF(Blad4!AF10="D. Kvyat",16,0)+IF(Blad4!AF10="A. Albon",16,0)+IF(Blad4!AH10="D. Kvyat",17,0)+IF(Blad4!AH10="A. Albon",17,0)+IF(Blad4!AJ10="D. Kvyat",18,0)+IF(Blad4!AJ10="A. Albon",18,0)+IF(Blad4!AL10="D. Kvyat",19,0)+IF(Blad4!AL10="A. Albon",19,0)+IF(Blad4!AN10="D. Kvyat",20,0)+IF(Blad4!AN10="A. Albon",20,0))/2</f>
        <v>17</v>
      </c>
      <c r="AK17" s="680">
        <f>(IF(Blad4!B11="D. Kvyat",1,0)+IF(Blad4!B11="A. Albon",1,0)+IF(Blad4!D11="D. Kvyat",2,0)+IF(Blad4!D11="A. Albon",2,0)+IF(Blad4!F11="D. Kvyat",3,0)+IF(Blad4!F11="A. Albon",3,0)+IF(Blad4!H11="D. Kvyat",4,0)+IF(Blad4!H11="A. Albon",4,0)+IF(Blad4!J11="D. Kvyat",5,0)+IF(Blad4!J11="A. Albon",5,0)+IF(Blad4!L11="D. Kvyat",6,0)+IF(Blad4!L11="A. Albon",6,0)+IF(Blad4!N11="D. Kvyat",7,0)+IF(Blad4!N11="A. Albon",7,0)+IF(Blad4!P11="D. Kvyat",8,0)+IF(Blad4!P11="A. Albon",8,0)+IF(Blad4!R11="D. Kvyat",9,0)+IF(Blad4!R11="A. Albon",9,0)+IF(Blad4!T11="D. Kvyat",10,0)+IF(Blad4!T11="A. Albon",10,0)+IF(Blad4!V11="D. Kvyat",11,0)+IF(Blad4!V11="A. Albon",11,0)+IF(Blad4!X11="D. Kvyat",12,0)+IF(Blad4!X11="A. Albon",12,0)+IF(Blad4!Z11="D. Kvyat",13,0)+IF(Blad4!Z11="A. Albon",13,0)+IF(Blad4!AB11="D. Kvyat",14,0)+IF(Blad4!AB11="A. Albon",14,0)+IF(Blad4!AD11="D. Kvyat",15,0)+IF(Blad4!AD11="A. Albon",15,0)+IF(Blad4!AF11="D. Kvyat",16,0)+IF(Blad4!AF11="A. Albon",16,0)+IF(Blad4!AH11="D. Kvyat",17,0)+IF(Blad4!AH11="A. Albon",17,0)+IF(Blad4!AJ11="D. Kvyat",18,0)+IF(Blad4!AJ11="A. Albon",18,0)+IF(Blad4!AL11="D. Kvyat",19,0)+IF(Blad4!AL11="A. Albon",19,0)+IF(Blad4!AN11="D. Kvyat",20,0)+IF(Blad4!AN11="A. Albon",20,0))/2</f>
        <v>13</v>
      </c>
      <c r="AL17" s="680">
        <f>(IF(Blad4!B12="D. Kvyat",1,0)+IF(Blad4!B12="A. Albon",1,0)+IF(Blad4!D12="D. Kvyat",2,0)+IF(Blad4!D12="A. Albon",2,0)+IF(Blad4!F12="D. Kvyat",3,0)+IF(Blad4!F12="A. Albon",3,0)+IF(Blad4!H12="D. Kvyat",4,0)+IF(Blad4!H12="A. Albon",4,0)+IF(Blad4!J12="D. Kvyat",5,0)+IF(Blad4!J12="A. Albon",5,0)+IF(Blad4!L12="D. Kvyat",6,0)+IF(Blad4!L12="A. Albon",6,0)+IF(Blad4!N12="D. Kvyat",7,0)+IF(Blad4!N12="A. Albon",7,0)+IF(Blad4!P12="D. Kvyat",8,0)+IF(Blad4!P12="A. Albon",8,0)+IF(Blad4!R12="D. Kvyat",9,0)+IF(Blad4!R12="A. Albon",9,0)+IF(Blad4!T12="D. Kvyat",10,0)+IF(Blad4!T12="A. Albon",10,0)+IF(Blad4!V12="D. Kvyat",11,0)+IF(Blad4!V12="A. Albon",11,0)+IF(Blad4!X12="D. Kvyat",12,0)+IF(Blad4!X12="A. Albon",12,0)+IF(Blad4!Z12="D. Kvyat",13,0)+IF(Blad4!Z12="A. Albon",13,0)+IF(Blad4!AB12="D. Kvyat",14,0)+IF(Blad4!AB12="A. Albon",14,0)+IF(Blad4!AD12="D. Kvyat",15,0)+IF(Blad4!AD12="A. Albon",15,0)+IF(Blad4!AF12="D. Kvyat",16,0)+IF(Blad4!AF12="A. Albon",16,0)+IF(Blad4!AH12="D. Kvyat",17,0)+IF(Blad4!AH12="A. Albon",17,0)+IF(Blad4!AJ12="D. Kvyat",18,0)+IF(Blad4!AJ12="A. Albon",18,0)+IF(Blad4!AL12="D. Kvyat",19,0)+IF(Blad4!AL12="A. Albon",19,0)+IF(Blad4!AN12="D. Kvyat",20,0)+IF(Blad4!AN12="A. Albon",20,0))/2</f>
        <v>15</v>
      </c>
      <c r="AM17" s="680">
        <f>(IF(Blad4!B13="D. Kvyat",1,0)+IF(Blad4!B13="A. Albon",1,0)+IF(Blad4!D13="D. Kvyat",2,0)+IF(Blad4!D13="A. Albon",2,0)+IF(Blad4!F13="D. Kvyat",3,0)+IF(Blad4!F13="A. Albon",3,0)+IF(Blad4!H13="D. Kvyat",4,0)+IF(Blad4!H13="A. Albon",4,0)+IF(Blad4!J13="D. Kvyat",5,0)+IF(Blad4!J13="A. Albon",5,0)+IF(Blad4!L13="D. Kvyat",6,0)+IF(Blad4!L13="A. Albon",6,0)+IF(Blad4!N13="D. Kvyat",7,0)+IF(Blad4!N13="A. Albon",7,0)+IF(Blad4!P13="D. Kvyat",8,0)+IF(Blad4!P13="A. Albon",8,0)+IF(Blad4!R13="D. Kvyat",9,0)+IF(Blad4!R13="A. Albon",9,0)+IF(Blad4!T13="D. Kvyat",10,0)+IF(Blad4!T13="A. Albon",10,0)+IF(Blad4!V13="D. Kvyat",11,0)+IF(Blad4!V13="A. Albon",11,0)+IF(Blad4!X13="D. Kvyat",12,0)+IF(Blad4!X13="A. Albon",12,0)+IF(Blad4!Z13="D. Kvyat",13,0)+IF(Blad4!Z13="A. Albon",13,0)+IF(Blad4!AB13="D. Kvyat",14,0)+IF(Blad4!AB13="A. Albon",14,0)+IF(Blad4!AD13="D. Kvyat",15,0)+IF(Blad4!AD13="A. Albon",15,0)+IF(Blad4!AF13="D. Kvyat",16,0)+IF(Blad4!AF13="A. Albon",16,0)+IF(Blad4!AH13="D. Kvyat",17,0)+IF(Blad4!AH13="A. Albon",17,0)+IF(Blad4!AJ13="D. Kvyat",18,0)+IF(Blad4!AJ13="A. Albon",18,0)+IF(Blad4!AL13="D. Kvyat",19,0)+IF(Blad4!AL13="A. Albon",19,0)+IF(Blad4!AN13="D. Kvyat",20,0)+IF(Blad4!AN13="A. Albon",20,0))/2</f>
        <v>12.5</v>
      </c>
      <c r="AN17" s="709">
        <f>(IF(Blad4!B14="D. Kvyat",1,0)+IF(Blad4!B14="P. Gasly¹",1,0)+IF(Blad4!D14="D. Kvyat",2,0)+IF(Blad4!D14="P. Gasly¹",2,0)+IF(Blad4!F14="D. Kvyat",3,0)+IF(Blad4!F14="P. Gasly¹",3,0)+IF(Blad4!H14="D. Kvyat",4,0)+IF(Blad4!H14="P. Gasly¹",4,0)+IF(Blad4!J14="D. Kvyat",5,0)+IF(Blad4!J14="P. Gasly¹",5,0)+IF(Blad4!L14="D. Kvyat",6,0)+IF(Blad4!L14="P. Gasly¹",6,0)+IF(Blad4!N14="D. Kvyat",7,0)+IF(Blad4!N14="P. Gasly¹",7,0)+IF(Blad4!P14="D. Kvyat",8,0)+IF(Blad4!P14="P. Gasly¹",8,0)+IF(Blad4!R14="D. Kvyat",9,0)+IF(Blad4!R14="P. Gasly¹",9,0)+IF(Blad4!T14="D. Kvyat",10,0)+IF(Blad4!T14="P. Gasly¹",10,0)+IF(Blad4!V14="D. Kvyat",11,0)+IF(Blad4!V14="P. Gasly¹",11,0)+IF(Blad4!X14="D. Kvyat",12,0)+IF(Blad4!X14="P. Gasly¹",12,0)+IF(Blad4!Z14="D. Kvyat",13,0)+IF(Blad4!Z14="P. Gasly¹",13,0)+IF(Blad4!AB14="D. Kvyat",14,0)+IF(Blad4!AB14="P. Gasly¹",14,0)+IF(Blad4!AD14="D. Kvyat",15,0)+IF(Blad4!AD14="P. Gasly¹",15,0)+IF(Blad4!AF14="D. Kvyat",16,0)+IF(Blad4!AF14="P. Gasly¹",16,0)+IF(Blad4!AH14="D. Kvyat",17,0)+IF(Blad4!AH14="P. Gasly¹",17,0)+IF(Blad4!AJ14="D. Kvyat",18,0)+IF(Blad4!AJ14="P. Gasly¹",18,0)+IF(Blad4!AL14="D. Kvyat",19,0)+IF(Blad4!AL14="P. Gasly¹",19,0)+IF(Blad4!AN14="D. Kvyat",20,0)+IF(Blad4!AN14="P. Gasly¹",20,0))/2</f>
        <v>16</v>
      </c>
      <c r="AO17" s="709">
        <f>(IF(Blad4!B15="D. Kvyat",1,0)+IF(Blad4!B15="P. Gasly¹",1,0)+IF(Blad4!D15="D. Kvyat",2,0)+IF(Blad4!D15="P. Gasly¹",2,0)+IF(Blad4!F15="D. Kvyat",3,0)+IF(Blad4!F15="P. Gasly¹",3,0)+IF(Blad4!H15="D. Kvyat",4,0)+IF(Blad4!H15="P. Gasly¹",4,0)+IF(Blad4!J15="D. Kvyat",5,0)+IF(Blad4!J15="P. Gasly¹",5,0)+IF(Blad4!L15="D. Kvyat",6,0)+IF(Blad4!L15="P. Gasly¹",6,0)+IF(Blad4!N15="D. Kvyat",7,0)+IF(Blad4!N15="P. Gasly¹",7,0)+IF(Blad4!P15="D. Kvyat",8,0)+IF(Blad4!P15="P. Gasly¹",8,0)+IF(Blad4!R15="D. Kvyat",9,0)+IF(Blad4!R15="P. Gasly¹",9,0)+IF(Blad4!T15="D. Kvyat",10,0)+IF(Blad4!T15="P. Gasly¹",10,0)+IF(Blad4!V15="D. Kvyat",11,0)+IF(Blad4!V15="P. Gasly¹",11,0)+IF(Blad4!X15="D. Kvyat",12,0)+IF(Blad4!X15="P. Gasly¹",12,0)+IF(Blad4!Z15="D. Kvyat",13,0)+IF(Blad4!Z15="P. Gasly¹",13,0)+IF(Blad4!AB15="D. Kvyat",14,0)+IF(Blad4!AB15="P. Gasly¹",14,0)+IF(Blad4!AD15="D. Kvyat",15,0)+IF(Blad4!AD15="P. Gasly¹",15,0)+IF(Blad4!AF15="D. Kvyat",16,0)+IF(Blad4!AF15="P. Gasly¹",16,0)+IF(Blad4!AH15="D. Kvyat",17,0)+IF(Blad4!AH15="P. Gasly¹",17,0)+IF(Blad4!AJ15="D. Kvyat",18,0)+IF(Blad4!AJ15="P. Gasly¹",18,0)+IF(Blad4!AL15="D. Kvyat",19,0)+IF(Blad4!AL15="P. Gasly¹",19,0)+IF(Blad4!AN15="D. Kvyat",20,0)+IF(Blad4!AN15="P. Gasly¹",20,0))/2</f>
        <v>14.5</v>
      </c>
      <c r="AP17" s="680"/>
      <c r="AQ17" s="680"/>
      <c r="AR17" s="680"/>
      <c r="AS17" s="680"/>
      <c r="AT17" s="680"/>
      <c r="AU17" s="680"/>
      <c r="AV17" s="681"/>
    </row>
    <row r="18" spans="27:49" ht="13.5" thickBot="1" x14ac:dyDescent="0.25">
      <c r="AA18" s="670" t="s">
        <v>77</v>
      </c>
      <c r="AB18" s="682">
        <f>(IF(Blad4!B2="G. Russell",1,0)+IF(Blad4!B2="R. Kubica",1,0)+IF(Blad4!D2="G. Russell",2,0)+IF(Blad4!D2="R. Kubica",2,0)+IF(Blad4!F2="G. Russell",3,0)+IF(Blad4!F2="R. Kubica",3,0)+IF(Blad4!H2="G. Russell",4,0)+IF(Blad4!H2="R. Kubica",4,0)+IF(Blad4!J2="G. Russell",5,0)+IF(Blad4!J2="R. Kubica",5,0)+IF(Blad4!L2="G. Russell",6,0)+IF(Blad4!L2="R. Kubica",6,0)+IF(Blad4!N2="G. Russell",7,0)+IF(Blad4!N2="R. Kubica",7,0)+IF(Blad4!P2="G. Russell",8,0)+IF(Blad4!P2="R. Kubica",8,0)+IF(Blad4!R2="G. Russell",9,0)+IF(Blad4!R2="R. Kubica",9,0)+IF(Blad4!T2="G. Russell",10,0)+IF(Blad4!T2="R. Kubica",10,0)+IF(Blad4!V2="G. Russell",11,0)+IF(Blad4!V2="R. Kubica",11,0)+IF(Blad4!X2="G. Russell",12,0)+IF(Blad4!X2="R. Kubica",12,0)+IF(Blad4!Z2="G. Russell",13,0)+IF(Blad4!Z2="R. Kubica",13,0)+IF(Blad4!AB2="G. Russell",14,0)+IF(Blad4!AB2="R. Kubica",14,0)+IF(Blad4!AD2="G. Russell",15,0)+IF(Blad4!AD2="R. Kubica",15,0)+IF(Blad4!AF2="G. Russell",16,0)+IF(Blad4!AF2="R. Kubica",16,0)+IF(Blad4!AH2="G. Russell",17,0)+IF(Blad4!AH2="R. Kubica",17,0)+IF(Blad4!AJ2="G. Russell",18,0)+IF(Blad4!AJ2="R. Kubica",18,0)+IF(Blad4!AL2="G. Russell",19,0)+IF(Blad4!AL2="R. Kubica",19,0)+IF(Blad4!AN2="G. Russell",20,0)+IF(Blad4!AN2="R. Kubica",20,0))/2</f>
        <v>19.5</v>
      </c>
      <c r="AC18" s="683">
        <f>(IF(Blad4!B3="G. Russell",1,0)+IF(Blad4!B3="R. Kubica",1,0)+IF(Blad4!D3="G. Russell",2,0)+IF(Blad4!D3="R. Kubica",2,0)+IF(Blad4!F3="G. Russell",3,0)+IF(Blad4!F3="R. Kubica",3,0)+IF(Blad4!H3="G. Russell",4,0)+IF(Blad4!H3="R. Kubica",4,0)+IF(Blad4!J3="G. Russell",5,0)+IF(Blad4!J3="R. Kubica",5,0)+IF(Blad4!L3="G. Russell",6,0)+IF(Blad4!L3="R. Kubica",6,0)+IF(Blad4!N3="G. Russell",7,0)+IF(Blad4!N3="R. Kubica",7,0)+IF(Blad4!P3="G. Russell",8,0)+IF(Blad4!P3="R. Kubica",8,0)+IF(Blad4!R3="G. Russell",9,0)+IF(Blad4!R3="R. Kubica",9,0)+IF(Blad4!T3="G. Russell",10,0)+IF(Blad4!T3="R. Kubica",10,0)+IF(Blad4!V3="G. Russell",11,0)+IF(Blad4!V3="R. Kubica",11,0)+IF(Blad4!X3="G. Russell",12,0)+IF(Blad4!X3="R. Kubica",12,0)+IF(Blad4!Z3="G. Russell",13,0)+IF(Blad4!Z3="R. Kubica",13,0)+IF(Blad4!AB3="G. Russell",14,0)+IF(Blad4!AB3="R. Kubica",14,0)+IF(Blad4!AD3="G. Russell",15,0)+IF(Blad4!AD3="R. Kubica",15,0)+IF(Blad4!AF3="G. Russell",16,0)+IF(Blad4!AF3="R. Kubica",16,0)+IF(Blad4!AH3="G. Russell",17,0)+IF(Blad4!AH3="R. Kubica",17,0)+IF(Blad4!AJ3="G. Russell",18,0)+IF(Blad4!AJ3="R. Kubica",18,0)+IF(Blad4!AL3="G. Russell",19,0)+IF(Blad4!AL3="R. Kubica",19,0)+IF(Blad4!AN3="G. Russell",20,0)+IF(Blad4!AN3="R. Kubica",20,0))/2</f>
        <v>19.5</v>
      </c>
      <c r="AD18" s="683">
        <f>(IF(Blad4!B4="G. Russell",1,0)+IF(Blad4!B4="R. Kubica",1,0)+IF(Blad4!D4="G. Russell",2,0)+IF(Blad4!D4="R. Kubica",2,0)+IF(Blad4!F4="G. Russell",3,0)+IF(Blad4!F4="R. Kubica",3,0)+IF(Blad4!H4="G. Russell",4,0)+IF(Blad4!H4="R. Kubica",4,0)+IF(Blad4!J4="G. Russell",5,0)+IF(Blad4!J4="R. Kubica",5,0)+IF(Blad4!L4="G. Russell",6,0)+IF(Blad4!L4="R. Kubica",6,0)+IF(Blad4!N4="G. Russell",7,0)+IF(Blad4!N4="R. Kubica",7,0)+IF(Blad4!P4="G. Russell",8,0)+IF(Blad4!P4="R. Kubica",8,0)+IF(Blad4!R4="G. Russell",9,0)+IF(Blad4!R4="R. Kubica",9,0)+IF(Blad4!T4="G. Russell",10,0)+IF(Blad4!T4="R. Kubica",10,0)+IF(Blad4!V4="G. Russell",11,0)+IF(Blad4!V4="R. Kubica",11,0)+IF(Blad4!X4="G. Russell",12,0)+IF(Blad4!X4="R. Kubica",12,0)+IF(Blad4!Z4="G. Russell",13,0)+IF(Blad4!Z4="R. Kubica",13,0)+IF(Blad4!AB4="G. Russell",14,0)+IF(Blad4!AB4="R. Kubica",14,0)+IF(Blad4!AD4="G. Russell",15,0)+IF(Blad4!AD4="R. Kubica",15,0)+IF(Blad4!AF4="G. Russell",16,0)+IF(Blad4!AF4="R. Kubica",16,0)+IF(Blad4!AH4="G. Russell",17,0)+IF(Blad4!AH4="R. Kubica",17,0)+IF(Blad4!AJ4="G. Russell",18,0)+IF(Blad4!AJ4="R. Kubica",18,0)+IF(Blad4!AL4="G. Russell",19,0)+IF(Blad4!AL4="R. Kubica",19,0)+IF(Blad4!AN4="G. Russell",20,0)+IF(Blad4!AN4="R. Kubica",20,0))/2</f>
        <v>17.5</v>
      </c>
      <c r="AE18" s="683">
        <f>(IF(Blad4!B5="G. Russell",1,0)+IF(Blad4!B5="R. Kubica",1,0)+IF(Blad4!D5="G. Russell",2,0)+IF(Blad4!D5="R. Kubica",2,0)+IF(Blad4!F5="G. Russell",3,0)+IF(Blad4!F5="R. Kubica",3,0)+IF(Blad4!H5="G. Russell",4,0)+IF(Blad4!H5="R. Kubica",4,0)+IF(Blad4!J5="G. Russell",5,0)+IF(Blad4!J5="R. Kubica",5,0)+IF(Blad4!L5="G. Russell",6,0)+IF(Blad4!L5="R. Kubica",6,0)+IF(Blad4!N5="G. Russell",7,0)+IF(Blad4!N5="R. Kubica",7,0)+IF(Blad4!P5="G. Russell",8,0)+IF(Blad4!P5="R. Kubica",8,0)+IF(Blad4!R5="G. Russell",9,0)+IF(Blad4!R5="R. Kubica",9,0)+IF(Blad4!T5="G. Russell",10,0)+IF(Blad4!T5="R. Kubica",10,0)+IF(Blad4!V5="G. Russell",11,0)+IF(Blad4!V5="R. Kubica",11,0)+IF(Blad4!X5="G. Russell",12,0)+IF(Blad4!X5="R. Kubica",12,0)+IF(Blad4!Z5="G. Russell",13,0)+IF(Blad4!Z5="R. Kubica",13,0)+IF(Blad4!AB5="G. Russell",14,0)+IF(Blad4!AB5="R. Kubica",14,0)+IF(Blad4!AD5="G. Russell",15,0)+IF(Blad4!AD5="R. Kubica",15,0)+IF(Blad4!AF5="G. Russell",16,0)+IF(Blad4!AF5="R. Kubica",16,0)+IF(Blad4!AH5="G. Russell",17,0)+IF(Blad4!AH5="R. Kubica",17,0)+IF(Blad4!AJ5="G. Russell",18,0)+IF(Blad4!AJ5="R. Kubica",18,0)+IF(Blad4!AL5="G. Russell",19,0)+IF(Blad4!AL5="R. Kubica",19,0)+IF(Blad4!AN5="G. Russell",20,0)+IF(Blad4!AN5="R. Kubica",20,0))/2</f>
        <v>17</v>
      </c>
      <c r="AF18" s="683">
        <f>(IF(Blad4!B6="G. Russell",1,0)+IF(Blad4!B6="R. Kubica",1,0)+IF(Blad4!D6="G. Russell",2,0)+IF(Blad4!D6="R. Kubica",2,0)+IF(Blad4!F6="G. Russell",3,0)+IF(Blad4!F6="R. Kubica",3,0)+IF(Blad4!H6="G. Russell",4,0)+IF(Blad4!H6="R. Kubica",4,0)+IF(Blad4!J6="G. Russell",5,0)+IF(Blad4!J6="R. Kubica",5,0)+IF(Blad4!L6="G. Russell",6,0)+IF(Blad4!L6="R. Kubica",6,0)+IF(Blad4!N6="G. Russell",7,0)+IF(Blad4!N6="R. Kubica",7,0)+IF(Blad4!P6="G. Russell",8,0)+IF(Blad4!P6="R. Kubica",8,0)+IF(Blad4!R6="G. Russell",9,0)+IF(Blad4!R6="R. Kubica",9,0)+IF(Blad4!T6="G. Russell",10,0)+IF(Blad4!T6="R. Kubica",10,0)+IF(Blad4!V6="G. Russell",11,0)+IF(Blad4!V6="R. Kubica",11,0)+IF(Blad4!X6="G. Russell",12,0)+IF(Blad4!X6="R. Kubica",12,0)+IF(Blad4!Z6="G. Russell",13,0)+IF(Blad4!Z6="R. Kubica",13,0)+IF(Blad4!AB6="G. Russell",14,0)+IF(Blad4!AB6="R. Kubica",14,0)+IF(Blad4!AD6="G. Russell",15,0)+IF(Blad4!AD6="R. Kubica",15,0)+IF(Blad4!AF6="G. Russell",16,0)+IF(Blad4!AF6="R. Kubica",16,0)+IF(Blad4!AH6="G. Russell",17,0)+IF(Blad4!AH6="R. Kubica",17,0)+IF(Blad4!AJ6="G. Russell",18,0)+IF(Blad4!AJ6="R. Kubica",18,0)+IF(Blad4!AL6="G. Russell",19,0)+IF(Blad4!AL6="R. Kubica",19,0)+IF(Blad4!AN6="G. Russell",20,0)+IF(Blad4!AN6="R. Kubica",20,0))/2</f>
        <v>18</v>
      </c>
      <c r="AG18" s="683">
        <f>(IF(Blad4!B7="G. Russell",1,0)+IF(Blad4!B7="R. Kubica",1,0)+IF(Blad4!D7="G. Russell",2,0)+IF(Blad4!D7="R. Kubica",2,0)+IF(Blad4!F7="G. Russell",3,0)+IF(Blad4!F7="R. Kubica",3,0)+IF(Blad4!H7="G. Russell",4,0)+IF(Blad4!H7="R. Kubica",4,0)+IF(Blad4!J7="G. Russell",5,0)+IF(Blad4!J7="R. Kubica",5,0)+IF(Blad4!L7="G. Russell",6,0)+IF(Blad4!L7="R. Kubica",6,0)+IF(Blad4!N7="G. Russell",7,0)+IF(Blad4!N7="R. Kubica",7,0)+IF(Blad4!P7="G. Russell",8,0)+IF(Blad4!P7="R. Kubica",8,0)+IF(Blad4!R7="G. Russell",9,0)+IF(Blad4!R7="R. Kubica",9,0)+IF(Blad4!T7="G. Russell",10,0)+IF(Blad4!T7="R. Kubica",10,0)+IF(Blad4!V7="G. Russell",11,0)+IF(Blad4!V7="R. Kubica",11,0)+IF(Blad4!X7="G. Russell",12,0)+IF(Blad4!X7="R. Kubica",12,0)+IF(Blad4!Z7="G. Russell",13,0)+IF(Blad4!Z7="R. Kubica",13,0)+IF(Blad4!AB7="G. Russell",14,0)+IF(Blad4!AB7="R. Kubica",14,0)+IF(Blad4!AD7="G. Russell",15,0)+IF(Blad4!AD7="R. Kubica",15,0)+IF(Blad4!AF7="G. Russell",16,0)+IF(Blad4!AF7="R. Kubica",16,0)+IF(Blad4!AH7="G. Russell",17,0)+IF(Blad4!AH7="R. Kubica",17,0)+IF(Blad4!AJ7="G. Russell",18,0)+IF(Blad4!AJ7="R. Kubica",18,0)+IF(Blad4!AL7="G. Russell",19,0)+IF(Blad4!AL7="R. Kubica",19,0)+IF(Blad4!AN7="G. Russell",20,0)+IF(Blad4!AN7="R. Kubica",20,0))/2</f>
        <v>19.5</v>
      </c>
      <c r="AH18" s="683">
        <f>(IF(Blad4!B8="G. Russell",1,0)+IF(Blad4!B8="R. Kubica",1,0)+IF(Blad4!D8="G. Russell",2,0)+IF(Blad4!D8="R. Kubica",2,0)+IF(Blad4!F8="G. Russell",3,0)+IF(Blad4!F8="R. Kubica",3,0)+IF(Blad4!H8="G. Russell",4,0)+IF(Blad4!H8="R. Kubica",4,0)+IF(Blad4!J8="G. Russell",5,0)+IF(Blad4!J8="R. Kubica",5,0)+IF(Blad4!L8="G. Russell",6,0)+IF(Blad4!L8="R. Kubica",6,0)+IF(Blad4!N8="G. Russell",7,0)+IF(Blad4!N8="R. Kubica",7,0)+IF(Blad4!P8="G. Russell",8,0)+IF(Blad4!P8="R. Kubica",8,0)+IF(Blad4!R8="G. Russell",9,0)+IF(Blad4!R8="R. Kubica",9,0)+IF(Blad4!T8="G. Russell",10,0)+IF(Blad4!T8="R. Kubica",10,0)+IF(Blad4!V8="G. Russell",11,0)+IF(Blad4!V8="R. Kubica",11,0)+IF(Blad4!X8="G. Russell",12,0)+IF(Blad4!X8="R. Kubica",12,0)+IF(Blad4!Z8="G. Russell",13,0)+IF(Blad4!Z8="R. Kubica",13,0)+IF(Blad4!AB8="G. Russell",14,0)+IF(Blad4!AB8="R. Kubica",14,0)+IF(Blad4!AD8="G. Russell",15,0)+IF(Blad4!AD8="R. Kubica",15,0)+IF(Blad4!AF8="G. Russell",16,0)+IF(Blad4!AF8="R. Kubica",16,0)+IF(Blad4!AH8="G. Russell",17,0)+IF(Blad4!AH8="R. Kubica",17,0)+IF(Blad4!AJ8="G. Russell",18,0)+IF(Blad4!AJ8="R. Kubica",18,0)+IF(Blad4!AL8="G. Russell",19,0)+IF(Blad4!AL8="R. Kubica",19,0)+IF(Blad4!AN8="G. Russell",20,0)+IF(Blad4!AN8="R. Kubica",20,0))/2</f>
        <v>18.5</v>
      </c>
      <c r="AI18" s="683">
        <f>(IF(Blad4!B9="G. Russell",1,0)+IF(Blad4!B9="R. Kubica",1,0)+IF(Blad4!D9="G. Russell",2,0)+IF(Blad4!D9="R. Kubica",2,0)+IF(Blad4!F9="G. Russell",3,0)+IF(Blad4!F9="R. Kubica",3,0)+IF(Blad4!H9="G. Russell",4,0)+IF(Blad4!H9="R. Kubica",4,0)+IF(Blad4!J9="G. Russell",5,0)+IF(Blad4!J9="R. Kubica",5,0)+IF(Blad4!L9="G. Russell",6,0)+IF(Blad4!L9="R. Kubica",6,0)+IF(Blad4!N9="G. Russell",7,0)+IF(Blad4!N9="R. Kubica",7,0)+IF(Blad4!P9="G. Russell",8,0)+IF(Blad4!P9="R. Kubica",8,0)+IF(Blad4!R9="G. Russell",9,0)+IF(Blad4!R9="R. Kubica",9,0)+IF(Blad4!T9="G. Russell",10,0)+IF(Blad4!T9="R. Kubica",10,0)+IF(Blad4!V9="G. Russell",11,0)+IF(Blad4!V9="R. Kubica",11,0)+IF(Blad4!X9="G. Russell",12,0)+IF(Blad4!X9="R. Kubica",12,0)+IF(Blad4!Z9="G. Russell",13,0)+IF(Blad4!Z9="R. Kubica",13,0)+IF(Blad4!AB9="G. Russell",14,0)+IF(Blad4!AB9="R. Kubica",14,0)+IF(Blad4!AD9="G. Russell",15,0)+IF(Blad4!AD9="R. Kubica",15,0)+IF(Blad4!AF9="G. Russell",16,0)+IF(Blad4!AF9="R. Kubica",16,0)+IF(Blad4!AH9="G. Russell",17,0)+IF(Blad4!AH9="R. Kubica",17,0)+IF(Blad4!AJ9="G. Russell",18,0)+IF(Blad4!AJ9="R. Kubica",18,0)+IF(Blad4!AL9="G. Russell",19,0)+IF(Blad4!AL9="R. Kubica",19,0)+IF(Blad4!AN9="G. Russell",20,0)+IF(Blad4!AN9="R. Kubica",20,0))/2</f>
        <v>19</v>
      </c>
      <c r="AJ18" s="683">
        <f>(IF(Blad4!B10="G. Russell",1,0)+IF(Blad4!B10="R. Kubica",1,0)+IF(Blad4!D10="G. Russell",2,0)+IF(Blad4!D10="R. Kubica",2,0)+IF(Blad4!F10="G. Russell",3,0)+IF(Blad4!F10="R. Kubica",3,0)+IF(Blad4!H10="G. Russell",4,0)+IF(Blad4!H10="R. Kubica",4,0)+IF(Blad4!J10="G. Russell",5,0)+IF(Blad4!J10="R. Kubica",5,0)+IF(Blad4!L10="G. Russell",6,0)+IF(Blad4!L10="R. Kubica",6,0)+IF(Blad4!N10="G. Russell",7,0)+IF(Blad4!N10="R. Kubica",7,0)+IF(Blad4!P10="G. Russell",8,0)+IF(Blad4!P10="R. Kubica",8,0)+IF(Blad4!R10="G. Russell",9,0)+IF(Blad4!R10="R. Kubica",9,0)+IF(Blad4!T10="G. Russell",10,0)+IF(Blad4!T10="R. Kubica",10,0)+IF(Blad4!V10="G. Russell",11,0)+IF(Blad4!V10="R. Kubica",11,0)+IF(Blad4!X10="G. Russell",12,0)+IF(Blad4!X10="R. Kubica",12,0)+IF(Blad4!Z10="G. Russell",13,0)+IF(Blad4!Z10="R. Kubica",13,0)+IF(Blad4!AB10="G. Russell",14,0)+IF(Blad4!AB10="R. Kubica",14,0)+IF(Blad4!AD10="G. Russell",15,0)+IF(Blad4!AD10="R. Kubica",15,0)+IF(Blad4!AF10="G. Russell",16,0)+IF(Blad4!AF10="R. Kubica",16,0)+IF(Blad4!AH10="G. Russell",17,0)+IF(Blad4!AH10="R. Kubica",17,0)+IF(Blad4!AJ10="G. Russell",18,0)+IF(Blad4!AJ10="R. Kubica",18,0)+IF(Blad4!AL10="G. Russell",19,0)+IF(Blad4!AL10="R. Kubica",19,0)+IF(Blad4!AN10="G. Russell",20,0)+IF(Blad4!AN10="R. Kubica",20,0))/2</f>
        <v>18.5</v>
      </c>
      <c r="AK18" s="683">
        <f>(IF(Blad4!B11="G. Russell",1,0)+IF(Blad4!B11="R. Kubica",1,0)+IF(Blad4!D11="G. Russell",2,0)+IF(Blad4!D11="R. Kubica",2,0)+IF(Blad4!F11="G. Russell",3,0)+IF(Blad4!F11="R. Kubica",3,0)+IF(Blad4!H11="G. Russell",4,0)+IF(Blad4!H11="R. Kubica",4,0)+IF(Blad4!J11="G. Russell",5,0)+IF(Blad4!J11="R. Kubica",5,0)+IF(Blad4!L11="G. Russell",6,0)+IF(Blad4!L11="R. Kubica",6,0)+IF(Blad4!N11="G. Russell",7,0)+IF(Blad4!N11="R. Kubica",7,0)+IF(Blad4!P11="G. Russell",8,0)+IF(Blad4!P11="R. Kubica",8,0)+IF(Blad4!R11="G. Russell",9,0)+IF(Blad4!R11="R. Kubica",9,0)+IF(Blad4!T11="G. Russell",10,0)+IF(Blad4!T11="R. Kubica",10,0)+IF(Blad4!V11="G. Russell",11,0)+IF(Blad4!V11="R. Kubica",11,0)+IF(Blad4!X11="G. Russell",12,0)+IF(Blad4!X11="R. Kubica",12,0)+IF(Blad4!Z11="G. Russell",13,0)+IF(Blad4!Z11="R. Kubica",13,0)+IF(Blad4!AB11="G. Russell",14,0)+IF(Blad4!AB11="R. Kubica",14,0)+IF(Blad4!AD11="G. Russell",15,0)+IF(Blad4!AD11="R. Kubica",15,0)+IF(Blad4!AF11="G. Russell",16,0)+IF(Blad4!AF11="R. Kubica",16,0)+IF(Blad4!AH11="G. Russell",17,0)+IF(Blad4!AH11="R. Kubica",17,0)+IF(Blad4!AJ11="G. Russell",18,0)+IF(Blad4!AJ11="R. Kubica",18,0)+IF(Blad4!AL11="G. Russell",19,0)+IF(Blad4!AL11="R. Kubica",19,0)+IF(Blad4!AN11="G. Russell",20,0)+IF(Blad4!AN11="R. Kubica",20,0))/2</f>
        <v>19.5</v>
      </c>
      <c r="AL18" s="683">
        <f>(IF(Blad4!B12="G. Russell",1,0)+IF(Blad4!B12="R. Kubica",1,0)+IF(Blad4!D12="G. Russell",2,0)+IF(Blad4!D12="R. Kubica",2,0)+IF(Blad4!F12="G. Russell",3,0)+IF(Blad4!F12="R. Kubica",3,0)+IF(Blad4!H12="G. Russell",4,0)+IF(Blad4!H12="R. Kubica",4,0)+IF(Blad4!J12="G. Russell",5,0)+IF(Blad4!J12="R. Kubica",5,0)+IF(Blad4!L12="G. Russell",6,0)+IF(Blad4!L12="R. Kubica",6,0)+IF(Blad4!N12="G. Russell",7,0)+IF(Blad4!N12="R. Kubica",7,0)+IF(Blad4!P12="G. Russell",8,0)+IF(Blad4!P12="R. Kubica",8,0)+IF(Blad4!R12="G. Russell",9,0)+IF(Blad4!R12="R. Kubica",9,0)+IF(Blad4!T12="G. Russell",10,0)+IF(Blad4!T12="R. Kubica",10,0)+IF(Blad4!V12="G. Russell",11,0)+IF(Blad4!V12="R. Kubica",11,0)+IF(Blad4!X12="G. Russell",12,0)+IF(Blad4!X12="R. Kubica",12,0)+IF(Blad4!Z12="G. Russell",13,0)+IF(Blad4!Z12="R. Kubica",13,0)+IF(Blad4!AB12="G. Russell",14,0)+IF(Blad4!AB12="R. Kubica",14,0)+IF(Blad4!AD12="G. Russell",15,0)+IF(Blad4!AD12="R. Kubica",15,0)+IF(Blad4!AF12="G. Russell",16,0)+IF(Blad4!AF12="R. Kubica",16,0)+IF(Blad4!AH12="G. Russell",17,0)+IF(Blad4!AH12="R. Kubica",17,0)+IF(Blad4!AJ12="G. Russell",18,0)+IF(Blad4!AJ12="R. Kubica",18,0)+IF(Blad4!AL12="G. Russell",19,0)+IF(Blad4!AL12="R. Kubica",19,0)+IF(Blad4!AN12="G. Russell",20,0)+IF(Blad4!AN12="R. Kubica",20,0))/2</f>
        <v>17.5</v>
      </c>
      <c r="AM18" s="683">
        <f>(IF(Blad4!B13="G. Russell",1,0)+IF(Blad4!B13="R. Kubica",1,0)+IF(Blad4!D13="G. Russell",2,0)+IF(Blad4!D13="R. Kubica",2,0)+IF(Blad4!F13="G. Russell",3,0)+IF(Blad4!F13="R. Kubica",3,0)+IF(Blad4!H13="G. Russell",4,0)+IF(Blad4!H13="R. Kubica",4,0)+IF(Blad4!J13="G. Russell",5,0)+IF(Blad4!J13="R. Kubica",5,0)+IF(Blad4!L13="G. Russell",6,0)+IF(Blad4!L13="R. Kubica",6,0)+IF(Blad4!N13="G. Russell",7,0)+IF(Blad4!N13="R. Kubica",7,0)+IF(Blad4!P13="G. Russell",8,0)+IF(Blad4!P13="R. Kubica",8,0)+IF(Blad4!R13="G. Russell",9,0)+IF(Blad4!R13="R. Kubica",9,0)+IF(Blad4!T13="G. Russell",10,0)+IF(Blad4!T13="R. Kubica",10,0)+IF(Blad4!V13="G. Russell",11,0)+IF(Blad4!V13="R. Kubica",11,0)+IF(Blad4!X13="G. Russell",12,0)+IF(Blad4!X13="R. Kubica",12,0)+IF(Blad4!Z13="G. Russell",13,0)+IF(Blad4!Z13="R. Kubica",13,0)+IF(Blad4!AB13="G. Russell",14,0)+IF(Blad4!AB13="R. Kubica",14,0)+IF(Blad4!AD13="G. Russell",15,0)+IF(Blad4!AD13="R. Kubica",15,0)+IF(Blad4!AF13="G. Russell",16,0)+IF(Blad4!AF13="R. Kubica",16,0)+IF(Blad4!AH13="G. Russell",17,0)+IF(Blad4!AH13="R. Kubica",17,0)+IF(Blad4!AJ13="G. Russell",18,0)+IF(Blad4!AJ13="R. Kubica",18,0)+IF(Blad4!AL13="G. Russell",19,0)+IF(Blad4!AL13="R. Kubica",19,0)+IF(Blad4!AN13="G. Russell",20,0)+IF(Blad4!AN13="R. Kubica",20,0))/2</f>
        <v>17</v>
      </c>
      <c r="AN18" s="683">
        <f>(IF(Blad4!B14="G. Russell",1,0)+IF(Blad4!B14="R. Kubica",1,0)+IF(Blad4!D14="G. Russell",2,0)+IF(Blad4!D14="R. Kubica",2,0)+IF(Blad4!F14="G. Russell",3,0)+IF(Blad4!F14="R. Kubica",3,0)+IF(Blad4!H14="G. Russell",4,0)+IF(Blad4!H14="R. Kubica",4,0)+IF(Blad4!J14="G. Russell",5,0)+IF(Blad4!J14="R. Kubica",5,0)+IF(Blad4!L14="G. Russell",6,0)+IF(Blad4!L14="R. Kubica",6,0)+IF(Blad4!N14="G. Russell",7,0)+IF(Blad4!N14="R. Kubica",7,0)+IF(Blad4!P14="G. Russell",8,0)+IF(Blad4!P14="R. Kubica",8,0)+IF(Blad4!R14="G. Russell",9,0)+IF(Blad4!R14="R. Kubica",9,0)+IF(Blad4!T14="G. Russell",10,0)+IF(Blad4!T14="R. Kubica",10,0)+IF(Blad4!V14="G. Russell",11,0)+IF(Blad4!V14="R. Kubica",11,0)+IF(Blad4!X14="G. Russell",12,0)+IF(Blad4!X14="R. Kubica",12,0)+IF(Blad4!Z14="G. Russell",13,0)+IF(Blad4!Z14="R. Kubica",13,0)+IF(Blad4!AB14="G. Russell",14,0)+IF(Blad4!AB14="R. Kubica",14,0)+IF(Blad4!AD14="G. Russell",15,0)+IF(Blad4!AD14="R. Kubica",15,0)+IF(Blad4!AF14="G. Russell",16,0)+IF(Blad4!AF14="R. Kubica",16,0)+IF(Blad4!AH14="G. Russell",17,0)+IF(Blad4!AH14="R. Kubica",17,0)+IF(Blad4!AJ14="G. Russell",18,0)+IF(Blad4!AJ14="R. Kubica",18,0)+IF(Blad4!AL14="G. Russell",19,0)+IF(Blad4!AL14="R. Kubica",19,0)+IF(Blad4!AN14="G. Russell",20,0)+IF(Blad4!AN14="R. Kubica",20,0))/2</f>
        <v>17</v>
      </c>
      <c r="AO18" s="683">
        <f>(IF(Blad4!B15="G. Russell",1,0)+IF(Blad4!B15="R. Kubica",1,0)+IF(Blad4!D15="G. Russell",2,0)+IF(Blad4!D15="R. Kubica",2,0)+IF(Blad4!F15="G. Russell",3,0)+IF(Blad4!F15="R. Kubica",3,0)+IF(Blad4!H15="G. Russell",4,0)+IF(Blad4!H15="R. Kubica",4,0)+IF(Blad4!J15="G. Russell",5,0)+IF(Blad4!J15="R. Kubica",5,0)+IF(Blad4!L15="G. Russell",6,0)+IF(Blad4!L15="R. Kubica",6,0)+IF(Blad4!N15="G. Russell",7,0)+IF(Blad4!N15="R. Kubica",7,0)+IF(Blad4!P15="G. Russell",8,0)+IF(Blad4!P15="R. Kubica",8,0)+IF(Blad4!R15="G. Russell",9,0)+IF(Blad4!R15="R. Kubica",9,0)+IF(Blad4!T15="G. Russell",10,0)+IF(Blad4!T15="R. Kubica",10,0)+IF(Blad4!V15="G. Russell",11,0)+IF(Blad4!V15="R. Kubica",11,0)+IF(Blad4!X15="G. Russell",12,0)+IF(Blad4!X15="R. Kubica",12,0)+IF(Blad4!Z15="G. Russell",13,0)+IF(Blad4!Z15="R. Kubica",13,0)+IF(Blad4!AB15="G. Russell",14,0)+IF(Blad4!AB15="R. Kubica",14,0)+IF(Blad4!AD15="G. Russell",15,0)+IF(Blad4!AD15="R. Kubica",15,0)+IF(Blad4!AF15="G. Russell",16,0)+IF(Blad4!AF15="R. Kubica",16,0)+IF(Blad4!AH15="G. Russell",17,0)+IF(Blad4!AH15="R. Kubica",17,0)+IF(Blad4!AJ15="G. Russell",18,0)+IF(Blad4!AJ15="R. Kubica",18,0)+IF(Blad4!AL15="G. Russell",19,0)+IF(Blad4!AL15="R. Kubica",19,0)+IF(Blad4!AN15="G. Russell",20,0)+IF(Blad4!AN15="R. Kubica",20,0))/2</f>
        <v>14.5</v>
      </c>
      <c r="AP18" s="683"/>
      <c r="AQ18" s="683"/>
      <c r="AR18" s="683"/>
      <c r="AS18" s="683"/>
      <c r="AT18" s="683"/>
      <c r="AU18" s="683"/>
      <c r="AV18" s="684"/>
    </row>
    <row r="21" spans="27:49" x14ac:dyDescent="0.2">
      <c r="AA21" s="673"/>
      <c r="AB21" s="674"/>
      <c r="AC21" s="674"/>
      <c r="AD21" s="674"/>
      <c r="AE21" s="674"/>
      <c r="AF21" s="674"/>
      <c r="AG21" s="674"/>
      <c r="AH21" s="674"/>
      <c r="AI21" s="674"/>
      <c r="AJ21" s="674"/>
      <c r="AK21" s="674"/>
      <c r="AL21" s="674"/>
      <c r="AM21" s="674"/>
      <c r="AN21" s="674"/>
      <c r="AO21" s="674"/>
      <c r="AP21" s="674"/>
      <c r="AQ21" s="674"/>
      <c r="AR21" s="674"/>
      <c r="AS21" s="674"/>
      <c r="AT21" s="674"/>
      <c r="AU21" s="674"/>
      <c r="AV21" s="674"/>
      <c r="AW21" s="674"/>
    </row>
    <row r="22" spans="27:49" x14ac:dyDescent="0.2">
      <c r="AA22" s="674"/>
      <c r="AB22" s="674"/>
      <c r="AC22" s="674"/>
      <c r="AD22" s="674"/>
      <c r="AE22" s="674"/>
      <c r="AF22" s="674"/>
      <c r="AG22" s="674"/>
      <c r="AH22" s="674"/>
      <c r="AI22" s="674"/>
      <c r="AJ22" s="674"/>
      <c r="AK22" s="674"/>
      <c r="AL22" s="674"/>
      <c r="AM22" s="674"/>
      <c r="AN22" s="674"/>
      <c r="AO22" s="674"/>
      <c r="AP22" s="674"/>
      <c r="AQ22" s="674"/>
      <c r="AR22" s="674"/>
      <c r="AS22" s="674"/>
      <c r="AT22" s="674"/>
      <c r="AU22" s="674"/>
      <c r="AV22" s="674"/>
      <c r="AW22" s="674"/>
    </row>
    <row r="23" spans="27:49" ht="13.5" thickBot="1" x14ac:dyDescent="0.25">
      <c r="AA23" s="675"/>
      <c r="AB23" s="674"/>
      <c r="AC23" s="674"/>
      <c r="AD23" s="674"/>
      <c r="AE23" s="674"/>
      <c r="AF23" s="674"/>
      <c r="AG23" s="674"/>
      <c r="AH23" s="674"/>
      <c r="AI23" s="674"/>
      <c r="AJ23" s="674"/>
      <c r="AK23" s="674"/>
      <c r="AL23" s="674"/>
      <c r="AM23" s="674"/>
      <c r="AN23" s="674"/>
      <c r="AO23" s="674"/>
      <c r="AP23" s="674"/>
      <c r="AQ23" s="674"/>
      <c r="AR23" s="674"/>
      <c r="AS23" s="674"/>
      <c r="AT23" s="674"/>
      <c r="AU23" s="674"/>
      <c r="AV23" s="674"/>
      <c r="AW23" s="674"/>
    </row>
    <row r="24" spans="27:49" ht="13.5" thickBot="1" x14ac:dyDescent="0.25">
      <c r="AB24" s="663">
        <v>1</v>
      </c>
      <c r="AC24" s="664">
        <v>2</v>
      </c>
      <c r="AD24" s="664">
        <v>3</v>
      </c>
      <c r="AE24" s="664">
        <v>4</v>
      </c>
      <c r="AF24" s="664">
        <v>5</v>
      </c>
      <c r="AG24" s="664">
        <v>6</v>
      </c>
      <c r="AH24" s="664">
        <v>7</v>
      </c>
      <c r="AI24" s="664">
        <v>8</v>
      </c>
      <c r="AJ24" s="664">
        <v>9</v>
      </c>
      <c r="AK24" s="664">
        <v>10</v>
      </c>
      <c r="AL24" s="664">
        <v>11</v>
      </c>
      <c r="AM24" s="664">
        <v>12</v>
      </c>
      <c r="AN24" s="664">
        <v>13</v>
      </c>
      <c r="AO24" s="664">
        <v>14</v>
      </c>
      <c r="AP24" s="664">
        <v>15</v>
      </c>
      <c r="AQ24" s="664">
        <v>16</v>
      </c>
      <c r="AR24" s="664">
        <v>17</v>
      </c>
      <c r="AS24" s="664">
        <v>18</v>
      </c>
      <c r="AT24" s="664">
        <v>19</v>
      </c>
      <c r="AU24" s="664">
        <v>20</v>
      </c>
      <c r="AV24" s="665">
        <v>21</v>
      </c>
      <c r="AW24" s="674"/>
    </row>
    <row r="25" spans="27:49" x14ac:dyDescent="0.2">
      <c r="AA25" s="668" t="s">
        <v>328</v>
      </c>
      <c r="AB25" s="676"/>
      <c r="AC25" s="677"/>
      <c r="AD25" s="677"/>
      <c r="AE25" s="677"/>
      <c r="AF25" s="677"/>
      <c r="AG25" s="677"/>
      <c r="AH25" s="677"/>
      <c r="AI25" s="677"/>
      <c r="AJ25" s="677"/>
      <c r="AK25" s="677"/>
      <c r="AL25" s="677"/>
      <c r="AM25" s="677"/>
      <c r="AN25" s="677"/>
      <c r="AO25" s="677"/>
      <c r="AP25" s="677">
        <f>(IF(Blad4!B16="L. Hamilton",1,0)+IF(Blad4!B16="V. Bottas",1,0)+IF(Blad4!D16="L. Hamilton",2,0)+IF(Blad4!D16="V. Bottas",2,0)+IF(Blad4!F16="L. Hamilton",3,0)+IF(Blad4!F16="V. Bottas",3,0)+IF(Blad4!H16="L. Hamilton",4,0)+IF(Blad4!H16="V. Bottas",4,0)+IF(Blad4!J16="L. Hamilton",5,0)+IF(Blad4!J16="V. Bottas",5,0)+IF(Blad4!L16="L. Hamilton",6,0)+IF(Blad4!L16="V. Bottas",6,0)+IF(Blad4!N16="L. Hamilton",7,0)+IF(Blad4!N16="V. Bottas",7,0)+IF(Blad4!P16="L. Hamilton",8,0)+IF(Blad4!P16="V. Bottas",8,0)+IF(Blad4!R16="L. Hamilton",9,0)+IF(Blad4!R16="V. Bottas",9,0)+IF(Blad4!T16="L. Hamilton",10,0)+IF(Blad4!T16="V. Bottas",10,0)+IF(Blad4!V16="L. Hamilton",11,0)+IF(Blad4!V16="V. Bottas",11,0)+IF(Blad4!X16="L. Hamilton",12,0)+IF(Blad4!X16="V. Bottas",12,0)+IF(Blad4!Z16="L. Hamilton",13,0)+IF(Blad4!Z16="V. Bottas",13,0)+IF(Blad4!AB16="L. Hamilton",14,0)+IF(Blad4!AB16="V. Bottas",14,0)+IF(Blad4!AD16="L. Hamilton",15,0)+IF(Blad4!AD16="V. Bottas",15,0)+IF(Blad4!AF16="L. Hamilton",16,0)+IF(Blad4!AF16="V. Bottas",16,0)+IF(Blad4!AH16="L. Hamilton",17,0)+IF(Blad4!AH16="V. Bottas",17,0)+IF(Blad4!AJ16="L. Hamilton",18,0)+IF(Blad4!AJ16="V. Bottas",18,0)+IF(Blad4!AL16="L. Hamilton",19,0)+IF(Blad4!AL16="V. Bottas",19,0)+IF(Blad4!AN16="L. Hamilton",20,0)+IF(Blad4!AN16="V. Bottas",20,0))/2</f>
        <v>0</v>
      </c>
      <c r="AQ25" s="677">
        <f>(IF(Blad4!B17="L. Hamilton",1,0)+IF(Blad4!B17="V. Bottas",1,0)+IF(Blad4!D17="L. Hamilton",2,0)+IF(Blad4!D17="V. Bottas",2,0)+IF(Blad4!F17="L. Hamilton",3,0)+IF(Blad4!F17="V. Bottas",3,0)+IF(Blad4!H17="L. Hamilton",4,0)+IF(Blad4!H17="V. Bottas",4,0)+IF(Blad4!J17="L. Hamilton",5,0)+IF(Blad4!J17="V. Bottas",5,0)+IF(Blad4!L17="L. Hamilton",6,0)+IF(Blad4!L17="V. Bottas",6,0)+IF(Blad4!N17="L. Hamilton",7,0)+IF(Blad4!N17="V. Bottas",7,0)+IF(Blad4!P17="L. Hamilton",8,0)+IF(Blad4!P17="V. Bottas",8,0)+IF(Blad4!R17="L. Hamilton",9,0)+IF(Blad4!R17="V. Bottas",9,0)+IF(Blad4!T17="L. Hamilton",10,0)+IF(Blad4!T17="V. Bottas",10,0)+IF(Blad4!V17="L. Hamilton",11,0)+IF(Blad4!V17="V. Bottas",11,0)+IF(Blad4!X17="L. Hamilton",12,0)+IF(Blad4!X17="V. Bottas",12,0)+IF(Blad4!Z17="L. Hamilton",13,0)+IF(Blad4!Z17="V. Bottas",13,0)+IF(Blad4!AB17="L. Hamilton",14,0)+IF(Blad4!AB17="V. Bottas",14,0)+IF(Blad4!AD17="L. Hamilton",15,0)+IF(Blad4!AD17="V. Bottas",15,0)+IF(Blad4!AF17="L. Hamilton",16,0)+IF(Blad4!AF17="V. Bottas",16,0)+IF(Blad4!AH17="L. Hamilton",17,0)+IF(Blad4!AH17="V. Bottas",17,0)+IF(Blad4!AJ17="L. Hamilton",18,0)+IF(Blad4!AJ17="V. Bottas",18,0)+IF(Blad4!AL17="L. Hamilton",19,0)+IF(Blad4!AL17="V. Bottas",19,0)+IF(Blad4!AN17="L. Hamilton",20,0)+IF(Blad4!AN17="V. Bottas",20,0))/2</f>
        <v>0</v>
      </c>
      <c r="AR25" s="677">
        <f>(IF(Blad4!B18="L. Hamilton",1,0)+IF(Blad4!B18="V. Bottas",1,0)+IF(Blad4!D18="L. Hamilton",2,0)+IF(Blad4!D18="V. Bottas",2,0)+IF(Blad4!F18="L. Hamilton",3,0)+IF(Blad4!F18="V. Bottas",3,0)+IF(Blad4!H18="L. Hamilton",4,0)+IF(Blad4!H18="V. Bottas",4,0)+IF(Blad4!J18="L. Hamilton",5,0)+IF(Blad4!J18="V. Bottas",5,0)+IF(Blad4!L18="L. Hamilton",6,0)+IF(Blad4!L18="V. Bottas",6,0)+IF(Blad4!N18="L. Hamilton",7,0)+IF(Blad4!N18="V. Bottas",7,0)+IF(Blad4!P18="L. Hamilton",8,0)+IF(Blad4!P18="V. Bottas",8,0)+IF(Blad4!R18="L. Hamilton",9,0)+IF(Blad4!R18="V. Bottas",9,0)+IF(Blad4!T18="L. Hamilton",10,0)+IF(Blad4!T18="V. Bottas",10,0)+IF(Blad4!V18="L. Hamilton",11,0)+IF(Blad4!V18="V. Bottas",11,0)+IF(Blad4!X18="L. Hamilton",12,0)+IF(Blad4!X18="V. Bottas",12,0)+IF(Blad4!Z18="L. Hamilton",13,0)+IF(Blad4!Z18="V. Bottas",13,0)+IF(Blad4!AB18="L. Hamilton",14,0)+IF(Blad4!AB18="V. Bottas",14,0)+IF(Blad4!AD18="L. Hamilton",15,0)+IF(Blad4!AD18="V. Bottas",15,0)+IF(Blad4!AF18="L. Hamilton",16,0)+IF(Blad4!AF18="V. Bottas",16,0)+IF(Blad4!AH18="L. Hamilton",17,0)+IF(Blad4!AH18="V. Bottas",17,0)+IF(Blad4!AJ18="L. Hamilton",18,0)+IF(Blad4!AJ18="V. Bottas",18,0)+IF(Blad4!AL18="L. Hamilton",19,0)+IF(Blad4!AL18="V. Bottas",19,0)+IF(Blad4!AN18="L. Hamilton",20,0)+IF(Blad4!AN18="V. Bottas",20,0))/2</f>
        <v>0</v>
      </c>
      <c r="AS25" s="677">
        <f>(IF(Blad4!B19="L. Hamilton",1,0)+IF(Blad4!B19="V. Bottas",1,0)+IF(Blad4!D19="L. Hamilton",2,0)+IF(Blad4!D19="V. Bottas",2,0)+IF(Blad4!F19="L. Hamilton",3,0)+IF(Blad4!F19="V. Bottas",3,0)+IF(Blad4!H19="L. Hamilton",4,0)+IF(Blad4!H19="V. Bottas",4,0)+IF(Blad4!J19="L. Hamilton",5,0)+IF(Blad4!J19="V. Bottas",5,0)+IF(Blad4!L19="L. Hamilton",6,0)+IF(Blad4!L19="V. Bottas",6,0)+IF(Blad4!N19="L. Hamilton",7,0)+IF(Blad4!N19="V. Bottas",7,0)+IF(Blad4!P19="L. Hamilton",8,0)+IF(Blad4!P19="V. Bottas",8,0)+IF(Blad4!R19="L. Hamilton",9,0)+IF(Blad4!R19="V. Bottas",9,0)+IF(Blad4!T19="L. Hamilton",10,0)+IF(Blad4!T19="V. Bottas",10,0)+IF(Blad4!V19="L. Hamilton",11,0)+IF(Blad4!V19="V. Bottas",11,0)+IF(Blad4!X19="L. Hamilton",12,0)+IF(Blad4!X19="V. Bottas",12,0)+IF(Blad4!Z19="L. Hamilton",13,0)+IF(Blad4!Z19="V. Bottas",13,0)+IF(Blad4!AB19="L. Hamilton",14,0)+IF(Blad4!AB19="V. Bottas",14,0)+IF(Blad4!AD19="L. Hamilton",15,0)+IF(Blad4!AD19="V. Bottas",15,0)+IF(Blad4!AF19="L. Hamilton",16,0)+IF(Blad4!AF19="V. Bottas",16,0)+IF(Blad4!AH19="L. Hamilton",17,0)+IF(Blad4!AH19="V. Bottas",17,0)+IF(Blad4!AJ19="L. Hamilton",18,0)+IF(Blad4!AJ19="V. Bottas",18,0)+IF(Blad4!AL19="L. Hamilton",19,0)+IF(Blad4!AL19="V. Bottas",19,0)+IF(Blad4!AN19="L. Hamilton",20,0)+IF(Blad4!AN19="V. Bottas",20,0))/2</f>
        <v>0</v>
      </c>
      <c r="AT25" s="677">
        <f>(IF(Blad4!B20="L. Hamilton",1,0)+IF(Blad4!B20="V. Bottas",1,0)+IF(Blad4!D20="L. Hamilton",2,0)+IF(Blad4!D20="V. Bottas",2,0)+IF(Blad4!F20="L. Hamilton",3,0)+IF(Blad4!F20="V. Bottas",3,0)+IF(Blad4!H20="L. Hamilton",4,0)+IF(Blad4!H20="V. Bottas",4,0)+IF(Blad4!J20="L. Hamilton",5,0)+IF(Blad4!J20="V. Bottas",5,0)+IF(Blad4!L20="L. Hamilton",6,0)+IF(Blad4!L20="V. Bottas",6,0)+IF(Blad4!N20="L. Hamilton",7,0)+IF(Blad4!N20="V. Bottas",7,0)+IF(Blad4!P20="L. Hamilton",8,0)+IF(Blad4!P20="V. Bottas",8,0)+IF(Blad4!R20="L. Hamilton",9,0)+IF(Blad4!R20="V. Bottas",9,0)+IF(Blad4!T20="L. Hamilton",10,0)+IF(Blad4!T20="V. Bottas",10,0)+IF(Blad4!V20="L. Hamilton",11,0)+IF(Blad4!V20="V. Bottas",11,0)+IF(Blad4!X20="L. Hamilton",12,0)+IF(Blad4!X20="V. Bottas",12,0)+IF(Blad4!Z20="L. Hamilton",13,0)+IF(Blad4!Z20="V. Bottas",13,0)+IF(Blad4!AB20="L. Hamilton",14,0)+IF(Blad4!AB20="V. Bottas",14,0)+IF(Blad4!AD20="L. Hamilton",15,0)+IF(Blad4!AD20="V. Bottas",15,0)+IF(Blad4!AF20="L. Hamilton",16,0)+IF(Blad4!AF20="V. Bottas",16,0)+IF(Blad4!AH20="L. Hamilton",17,0)+IF(Blad4!AH20="V. Bottas",17,0)+IF(Blad4!AJ20="L. Hamilton",18,0)+IF(Blad4!AJ20="V. Bottas",18,0)+IF(Blad4!AL20="L. Hamilton",19,0)+IF(Blad4!AL20="V. Bottas",19,0)+IF(Blad4!AN20="L. Hamilton",20,0)+IF(Blad4!AN20="V. Bottas",20,0))/2</f>
        <v>0</v>
      </c>
      <c r="AU25" s="677">
        <f>(IF(Blad4!B21="L. Hamilton",1,0)+IF(Blad4!B21="V. Bottas",1,0)+IF(Blad4!D21="L. Hamilton",2,0)+IF(Blad4!D21="V. Bottas",2,0)+IF(Blad4!F21="L. Hamilton",3,0)+IF(Blad4!F21="V. Bottas",3,0)+IF(Blad4!H21="L. Hamilton",4,0)+IF(Blad4!H21="V. Bottas",4,0)+IF(Blad4!J21="L. Hamilton",5,0)+IF(Blad4!J21="V. Bottas",5,0)+IF(Blad4!L21="L. Hamilton",6,0)+IF(Blad4!L21="V. Bottas",6,0)+IF(Blad4!N21="L. Hamilton",7,0)+IF(Blad4!N21="V. Bottas",7,0)+IF(Blad4!P21="L. Hamilton",8,0)+IF(Blad4!P21="V. Bottas",8,0)+IF(Blad4!R21="L. Hamilton",9,0)+IF(Blad4!R21="V. Bottas",9,0)+IF(Blad4!T21="L. Hamilton",10,0)+IF(Blad4!T21="V. Bottas",10,0)+IF(Blad4!V21="L. Hamilton",11,0)+IF(Blad4!V21="V. Bottas",11,0)+IF(Blad4!X21="L. Hamilton",12,0)+IF(Blad4!X21="V. Bottas",12,0)+IF(Blad4!Z21="L. Hamilton",13,0)+IF(Blad4!Z21="V. Bottas",13,0)+IF(Blad4!AB21="L. Hamilton",14,0)+IF(Blad4!AB21="V. Bottas",14,0)+IF(Blad4!AD21="L. Hamilton",15,0)+IF(Blad4!AD21="V. Bottas",15,0)+IF(Blad4!AF21="L. Hamilton",16,0)+IF(Blad4!AF21="V. Bottas",16,0)+IF(Blad4!AH21="L. Hamilton",17,0)+IF(Blad4!AH21="V. Bottas",17,0)+IF(Blad4!AJ21="L. Hamilton",18,0)+IF(Blad4!AJ21="V. Bottas",18,0)+IF(Blad4!AL21="L. Hamilton",19,0)+IF(Blad4!AL21="V. Bottas",19,0)+IF(Blad4!AN21="L. Hamilton",20,0)+IF(Blad4!AN21="V. Bottas",20,0))/2</f>
        <v>0</v>
      </c>
      <c r="AV25" s="678">
        <f>(IF(Blad4!B22="L. Hamilton",1,0)+IF(Blad4!B22="V. Bottas",1,0)+IF(Blad4!D22="L. Hamilton",2,0)+IF(Blad4!D22="V. Bottas",2,0)+IF(Blad4!F22="L. Hamilton",3,0)+IF(Blad4!F22="V. Bottas",3,0)+IF(Blad4!H22="L. Hamilton",4,0)+IF(Blad4!H22="V. Bottas",4,0)+IF(Blad4!J22="L. Hamilton",5,0)+IF(Blad4!J22="V. Bottas",5,0)+IF(Blad4!L22="L. Hamilton",6,0)+IF(Blad4!L22="V. Bottas",6,0)+IF(Blad4!N22="L. Hamilton",7,0)+IF(Blad4!N22="V. Bottas",7,0)+IF(Blad4!P22="L. Hamilton",8,0)+IF(Blad4!P22="V. Bottas",8,0)+IF(Blad4!R22="L. Hamilton",9,0)+IF(Blad4!R22="V. Bottas",9,0)+IF(Blad4!T22="L. Hamilton",10,0)+IF(Blad4!T22="V. Bottas",10,0)+IF(Blad4!V22="L. Hamilton",11,0)+IF(Blad4!V22="V. Bottas",11,0)+IF(Blad4!X22="L. Hamilton",12,0)+IF(Blad4!X22="V. Bottas",12,0)+IF(Blad4!Z22="L. Hamilton",13,0)+IF(Blad4!Z22="V. Bottas",13,0)+IF(Blad4!AB22="L. Hamilton",14,0)+IF(Blad4!AB22="V. Bottas",14,0)+IF(Blad4!AD22="L. Hamilton",15,0)+IF(Blad4!AD22="V. Bottas",15,0)+IF(Blad4!AF22="L. Hamilton",16,0)+IF(Blad4!AF22="V. Bottas",16,0)+IF(Blad4!AH22="L. Hamilton",17,0)+IF(Blad4!AH22="V. Bottas",17,0)+IF(Blad4!AJ22="L. Hamilton",18,0)+IF(Blad4!AJ22="V. Bottas",18,0)+IF(Blad4!AL22="L. Hamilton",19,0)+IF(Blad4!AL22="V. Bottas",19,0)+IF(Blad4!AN22="L. Hamilton",20,0)+IF(Blad4!AN22="V. Bottas",20,0))/2</f>
        <v>0</v>
      </c>
      <c r="AW25" s="674"/>
    </row>
    <row r="26" spans="27:49" x14ac:dyDescent="0.2">
      <c r="AA26" s="669" t="s">
        <v>64</v>
      </c>
      <c r="AB26" s="679"/>
      <c r="AC26" s="680"/>
      <c r="AD26" s="680"/>
      <c r="AE26" s="680"/>
      <c r="AF26" s="680"/>
      <c r="AG26" s="680"/>
      <c r="AH26" s="680"/>
      <c r="AI26" s="680"/>
      <c r="AJ26" s="680"/>
      <c r="AK26" s="680"/>
      <c r="AL26" s="680"/>
      <c r="AM26" s="680"/>
      <c r="AN26" s="680"/>
      <c r="AO26" s="680"/>
      <c r="AP26" s="680">
        <f>(IF(Blad4!B16="S. Vettel",1,0)+IF(Blad4!B16="C. Leclerc",1,0)+IF(Blad4!D16="S. Vettel",2,0)+IF(Blad4!D16="C. Leclerc",2,0)+IF(Blad4!F16="S. Vettel",3,0)+IF(Blad4!F16="C. Leclerc",3,0)+IF(Blad4!H16="S. Vettel",4,0)+IF(Blad4!H16="C. Leclerc",4,0)+IF(Blad4!J16="S. Vettel",5,0)+IF(Blad4!J16="C. Leclerc",5,0)+IF(Blad4!L16="S. Vettel",6,0)+IF(Blad4!L16="C. Leclerc",6,0)+IF(Blad4!N16="S. Vettel",7,0)+IF(Blad4!N16="C. Leclerc",7,0)+IF(Blad4!P16="S. Vettel",8,0)+IF(Blad4!P16="C. Leclerc",8,0)+IF(Blad4!R16="S. Vettel",9,0)+IF(Blad4!R16="C. Leclerc",9,0)+IF(Blad4!T16="S. Vettel",10,0)+IF(Blad4!T16="C. Leclerc",10,0)+IF(Blad4!V16="S. Vettel",11,0)+IF(Blad4!V16="C. Leclerc",11,0)+IF(Blad4!X16="S. Vettel",12,0)+IF(Blad4!X16="C. Leclerc",12,0)+IF(Blad4!Z16="S. Vettel",13,0)+IF(Blad4!Z16="C. Leclerc",13,0)+IF(Blad4!AB16="S. Vettel",14,0)+IF(Blad4!AB16="C. Leclerc",14,0)+IF(Blad4!AD16="S. Vettel",15,0)+IF(Blad4!AD16="C. Leclerc",15,0)+IF(Blad4!AF16="S. Vettel",16,0)+IF(Blad4!AF16="C. Leclerc",16,0)+IF(Blad4!AH16="S. Vettel",17,0)+IF(Blad4!AH16="C. Leclerc",17,0)+IF(Blad4!AJ16="S. Vettel",18,0)+IF(Blad4!AJ16="C. Leclerc",18,0)+IF(Blad4!AL16="S. Vettel",19,0)+IF(Blad4!AL16="C. Leclerc",19,0)+IF(Blad4!AN16="S. Vettel",20,0)+IF(Blad4!AN16="C. Leclerc",20,0))/2</f>
        <v>0</v>
      </c>
      <c r="AQ26" s="680">
        <f>(IF(Blad4!B17="S. Vettel",1,0)+IF(Blad4!B17="C. Leclerc",1,0)+IF(Blad4!D17="S. Vettel",2,0)+IF(Blad4!D17="C. Leclerc",2,0)+IF(Blad4!F17="S. Vettel",3,0)+IF(Blad4!F17="C. Leclerc",3,0)+IF(Blad4!H17="S. Vettel",4,0)+IF(Blad4!H17="C. Leclerc",4,0)+IF(Blad4!J17="S. Vettel",5,0)+IF(Blad4!J17="C. Leclerc",5,0)+IF(Blad4!L17="S. Vettel",6,0)+IF(Blad4!L17="C. Leclerc",6,0)+IF(Blad4!N17="S. Vettel",7,0)+IF(Blad4!N17="C. Leclerc",7,0)+IF(Blad4!P17="S. Vettel",8,0)+IF(Blad4!P17="C. Leclerc",8,0)+IF(Blad4!R17="S. Vettel",9,0)+IF(Blad4!R17="C. Leclerc",9,0)+IF(Blad4!T17="S. Vettel",10,0)+IF(Blad4!T17="C. Leclerc",10,0)+IF(Blad4!V17="S. Vettel",11,0)+IF(Blad4!V17="C. Leclerc",11,0)+IF(Blad4!X17="S. Vettel",12,0)+IF(Blad4!X17="C. Leclerc",12,0)+IF(Blad4!Z17="S. Vettel",13,0)+IF(Blad4!Z17="C. Leclerc",13,0)+IF(Blad4!AB17="S. Vettel",14,0)+IF(Blad4!AB17="C. Leclerc",14,0)+IF(Blad4!AD17="S. Vettel",15,0)+IF(Blad4!AD17="C. Leclerc",15,0)+IF(Blad4!AF17="S. Vettel",16,0)+IF(Blad4!AF17="C. Leclerc",16,0)+IF(Blad4!AH17="S. Vettel",17,0)+IF(Blad4!AH17="C. Leclerc",17,0)+IF(Blad4!AJ17="S. Vettel",18,0)+IF(Blad4!AJ17="C. Leclerc",18,0)+IF(Blad4!AL17="S. Vettel",19,0)+IF(Blad4!AL17="C. Leclerc",19,0)+IF(Blad4!AN17="S. Vettel",20,0)+IF(Blad4!AN17="C. Leclerc",20,0))/2</f>
        <v>0</v>
      </c>
      <c r="AR26" s="680">
        <f>(IF(Blad4!B18="S. Vettel",1,0)+IF(Blad4!B18="C. Leclerc",1,0)+IF(Blad4!D18="S. Vettel",2,0)+IF(Blad4!D18="C. Leclerc",2,0)+IF(Blad4!F18="S. Vettel",3,0)+IF(Blad4!F18="C. Leclerc",3,0)+IF(Blad4!H18="S. Vettel",4,0)+IF(Blad4!H18="C. Leclerc",4,0)+IF(Blad4!J18="S. Vettel",5,0)+IF(Blad4!J18="C. Leclerc",5,0)+IF(Blad4!L18="S. Vettel",6,0)+IF(Blad4!L18="C. Leclerc",6,0)+IF(Blad4!N18="S. Vettel",7,0)+IF(Blad4!N18="C. Leclerc",7,0)+IF(Blad4!P18="S. Vettel",8,0)+IF(Blad4!P18="C. Leclerc",8,0)+IF(Blad4!R18="S. Vettel",9,0)+IF(Blad4!R18="C. Leclerc",9,0)+IF(Blad4!T18="S. Vettel",10,0)+IF(Blad4!T18="C. Leclerc",10,0)+IF(Blad4!V18="S. Vettel",11,0)+IF(Blad4!V18="C. Leclerc",11,0)+IF(Blad4!X18="S. Vettel",12,0)+IF(Blad4!X18="C. Leclerc",12,0)+IF(Blad4!Z18="S. Vettel",13,0)+IF(Blad4!Z18="C. Leclerc",13,0)+IF(Blad4!AB18="S. Vettel",14,0)+IF(Blad4!AB18="C. Leclerc",14,0)+IF(Blad4!AD18="S. Vettel",15,0)+IF(Blad4!AD18="C. Leclerc",15,0)+IF(Blad4!AF18="S. Vettel",16,0)+IF(Blad4!AF18="C. Leclerc",16,0)+IF(Blad4!AH18="S. Vettel",17,0)+IF(Blad4!AH18="C. Leclerc",17,0)+IF(Blad4!AJ18="S. Vettel",18,0)+IF(Blad4!AJ18="C. Leclerc",18,0)+IF(Blad4!AL18="S. Vettel",19,0)+IF(Blad4!AL18="C. Leclerc",19,0)+IF(Blad4!AN18="S. Vettel",20,0)+IF(Blad4!AN18="C. Leclerc",20,0))/2</f>
        <v>0</v>
      </c>
      <c r="AS26" s="680">
        <f>(IF(Blad4!B19="S. Vettel",1,0)+IF(Blad4!B19="C. Leclerc",1,0)+IF(Blad4!D19="S. Vettel",2,0)+IF(Blad4!D19="C. Leclerc",2,0)+IF(Blad4!F19="S. Vettel",3,0)+IF(Blad4!F19="C. Leclerc",3,0)+IF(Blad4!H19="S. Vettel",4,0)+IF(Blad4!H19="C. Leclerc",4,0)+IF(Blad4!J19="S. Vettel",5,0)+IF(Blad4!J19="C. Leclerc",5,0)+IF(Blad4!L19="S. Vettel",6,0)+IF(Blad4!L19="C. Leclerc",6,0)+IF(Blad4!N19="S. Vettel",7,0)+IF(Blad4!N19="C. Leclerc",7,0)+IF(Blad4!P19="S. Vettel",8,0)+IF(Blad4!P19="C. Leclerc",8,0)+IF(Blad4!R19="S. Vettel",9,0)+IF(Blad4!R19="C. Leclerc",9,0)+IF(Blad4!T19="S. Vettel",10,0)+IF(Blad4!T19="C. Leclerc",10,0)+IF(Blad4!V19="S. Vettel",11,0)+IF(Blad4!V19="C. Leclerc",11,0)+IF(Blad4!X19="S. Vettel",12,0)+IF(Blad4!X19="C. Leclerc",12,0)+IF(Blad4!Z19="S. Vettel",13,0)+IF(Blad4!Z19="C. Leclerc",13,0)+IF(Blad4!AB19="S. Vettel",14,0)+IF(Blad4!AB19="C. Leclerc",14,0)+IF(Blad4!AD19="S. Vettel",15,0)+IF(Blad4!AD19="C. Leclerc",15,0)+IF(Blad4!AF19="S. Vettel",16,0)+IF(Blad4!AF19="C. Leclerc",16,0)+IF(Blad4!AH19="S. Vettel",17,0)+IF(Blad4!AH19="C. Leclerc",17,0)+IF(Blad4!AJ19="S. Vettel",18,0)+IF(Blad4!AJ19="C. Leclerc",18,0)+IF(Blad4!AL19="S. Vettel",19,0)+IF(Blad4!AL19="C. Leclerc",19,0)+IF(Blad4!AN19="S. Vettel",20,0)+IF(Blad4!AN19="C. Leclerc",20,0))/2</f>
        <v>0</v>
      </c>
      <c r="AT26" s="680">
        <f>(IF(Blad4!B20="S. Vettel",1,0)+IF(Blad4!B20="C. Leclerc",1,0)+IF(Blad4!D20="S. Vettel",2,0)+IF(Blad4!D20="C. Leclerc",2,0)+IF(Blad4!F20="S. Vettel",3,0)+IF(Blad4!F20="C. Leclerc",3,0)+IF(Blad4!H20="S. Vettel",4,0)+IF(Blad4!H20="C. Leclerc",4,0)+IF(Blad4!J20="S. Vettel",5,0)+IF(Blad4!J20="C. Leclerc",5,0)+IF(Blad4!L20="S. Vettel",6,0)+IF(Blad4!L20="C. Leclerc",6,0)+IF(Blad4!N20="S. Vettel",7,0)+IF(Blad4!N20="C. Leclerc",7,0)+IF(Blad4!P20="S. Vettel",8,0)+IF(Blad4!P20="C. Leclerc",8,0)+IF(Blad4!R20="S. Vettel",9,0)+IF(Blad4!R20="C. Leclerc",9,0)+IF(Blad4!T20="S. Vettel",10,0)+IF(Blad4!T20="C. Leclerc",10,0)+IF(Blad4!V20="S. Vettel",11,0)+IF(Blad4!V20="C. Leclerc",11,0)+IF(Blad4!X20="S. Vettel",12,0)+IF(Blad4!X20="C. Leclerc",12,0)+IF(Blad4!Z20="S. Vettel",13,0)+IF(Blad4!Z20="C. Leclerc",13,0)+IF(Blad4!AB20="S. Vettel",14,0)+IF(Blad4!AB20="C. Leclerc",14,0)+IF(Blad4!AD20="S. Vettel",15,0)+IF(Blad4!AD20="C. Leclerc",15,0)+IF(Blad4!AF20="S. Vettel",16,0)+IF(Blad4!AF20="C. Leclerc",16,0)+IF(Blad4!AH20="S. Vettel",17,0)+IF(Blad4!AH20="C. Leclerc",17,0)+IF(Blad4!AJ20="S. Vettel",18,0)+IF(Blad4!AJ20="C. Leclerc",18,0)+IF(Blad4!AL20="S. Vettel",19,0)+IF(Blad4!AL20="C. Leclerc",19,0)+IF(Blad4!AN20="S. Vettel",20,0)+IF(Blad4!AN20="C. Leclerc",20,0))/2</f>
        <v>0</v>
      </c>
      <c r="AU26" s="680">
        <f>(IF(Blad4!B21="S. Vettel",1,0)+IF(Blad4!B21="C. Leclerc",1,0)+IF(Blad4!D21="S. Vettel",2,0)+IF(Blad4!D21="C. Leclerc",2,0)+IF(Blad4!F21="S. Vettel",3,0)+IF(Blad4!F21="C. Leclerc",3,0)+IF(Blad4!H21="S. Vettel",4,0)+IF(Blad4!H21="C. Leclerc",4,0)+IF(Blad4!J21="S. Vettel",5,0)+IF(Blad4!J21="C. Leclerc",5,0)+IF(Blad4!L21="S. Vettel",6,0)+IF(Blad4!L21="C. Leclerc",6,0)+IF(Blad4!N21="S. Vettel",7,0)+IF(Blad4!N21="C. Leclerc",7,0)+IF(Blad4!P21="S. Vettel",8,0)+IF(Blad4!P21="C. Leclerc",8,0)+IF(Blad4!R21="S. Vettel",9,0)+IF(Blad4!R21="C. Leclerc",9,0)+IF(Blad4!T21="S. Vettel",10,0)+IF(Blad4!T21="C. Leclerc",10,0)+IF(Blad4!V21="S. Vettel",11,0)+IF(Blad4!V21="C. Leclerc",11,0)+IF(Blad4!X21="S. Vettel",12,0)+IF(Blad4!X21="C. Leclerc",12,0)+IF(Blad4!Z21="S. Vettel",13,0)+IF(Blad4!Z21="C. Leclerc",13,0)+IF(Blad4!AB21="S. Vettel",14,0)+IF(Blad4!AB21="C. Leclerc",14,0)+IF(Blad4!AD21="S. Vettel",15,0)+IF(Blad4!AD21="C. Leclerc",15,0)+IF(Blad4!AF21="S. Vettel",16,0)+IF(Blad4!AF21="C. Leclerc",16,0)+IF(Blad4!AH21="S. Vettel",17,0)+IF(Blad4!AH21="C. Leclerc",17,0)+IF(Blad4!AJ21="S. Vettel",18,0)+IF(Blad4!AJ21="C. Leclerc",18,0)+IF(Blad4!AL21="S. Vettel",19,0)+IF(Blad4!AL21="C. Leclerc",19,0)+IF(Blad4!AN21="S. Vettel",20,0)+IF(Blad4!AN21="C. Leclerc",20,0))/2</f>
        <v>0</v>
      </c>
      <c r="AV26" s="681">
        <f>(IF(Blad4!B22="S. Vettel",1,0)+IF(Blad4!B22="C. Leclerc",1,0)+IF(Blad4!D22="S. Vettel",2,0)+IF(Blad4!D22="C. Leclerc",2,0)+IF(Blad4!F22="S. Vettel",3,0)+IF(Blad4!F22="C. Leclerc",3,0)+IF(Blad4!H22="S. Vettel",4,0)+IF(Blad4!H22="C. Leclerc",4,0)+IF(Blad4!J22="S. Vettel",5,0)+IF(Blad4!J22="C. Leclerc",5,0)+IF(Blad4!L22="S. Vettel",6,0)+IF(Blad4!L22="C. Leclerc",6,0)+IF(Blad4!N22="S. Vettel",7,0)+IF(Blad4!N22="C. Leclerc",7,0)+IF(Blad4!P22="S. Vettel",8,0)+IF(Blad4!P22="C. Leclerc",8,0)+IF(Blad4!R22="S. Vettel",9,0)+IF(Blad4!R22="C. Leclerc",9,0)+IF(Blad4!T22="S. Vettel",10,0)+IF(Blad4!T22="C. Leclerc",10,0)+IF(Blad4!V22="S. Vettel",11,0)+IF(Blad4!V22="C. Leclerc",11,0)+IF(Blad4!X22="S. Vettel",12,0)+IF(Blad4!X22="C. Leclerc",12,0)+IF(Blad4!Z22="S. Vettel",13,0)+IF(Blad4!Z22="C. Leclerc",13,0)+IF(Blad4!AB22="S. Vettel",14,0)+IF(Blad4!AB22="C. Leclerc",14,0)+IF(Blad4!AD22="S. Vettel",15,0)+IF(Blad4!AD22="C. Leclerc",15,0)+IF(Blad4!AF22="S. Vettel",16,0)+IF(Blad4!AF22="C. Leclerc",16,0)+IF(Blad4!AH22="S. Vettel",17,0)+IF(Blad4!AH22="C. Leclerc",17,0)+IF(Blad4!AJ22="S. Vettel",18,0)+IF(Blad4!AJ22="C. Leclerc",18,0)+IF(Blad4!AL22="S. Vettel",19,0)+IF(Blad4!AL22="C. Leclerc",19,0)+IF(Blad4!AN22="S. Vettel",20,0)+IF(Blad4!AN22="C. Leclerc",20,0))/2</f>
        <v>0</v>
      </c>
      <c r="AW26" s="674"/>
    </row>
    <row r="27" spans="27:49" x14ac:dyDescent="0.2">
      <c r="AA27" s="669" t="s">
        <v>401</v>
      </c>
      <c r="AB27" s="679"/>
      <c r="AC27" s="680"/>
      <c r="AD27" s="680"/>
      <c r="AE27" s="680"/>
      <c r="AF27" s="680"/>
      <c r="AG27" s="680"/>
      <c r="AH27" s="680"/>
      <c r="AI27" s="680"/>
      <c r="AJ27" s="680"/>
      <c r="AK27" s="680"/>
      <c r="AL27" s="680"/>
      <c r="AM27" s="680"/>
      <c r="AN27" s="680"/>
      <c r="AO27" s="680"/>
      <c r="AP27" s="709">
        <f>(IF(Blad4!B16="M. Verstappen",1,0)+IF(Blad4!B16="A. Albon¹",1,0)+IF(Blad4!D16="M. Verstappen",2,0)+IF(Blad4!D16="A. Albon¹",2,0)+IF(Blad4!F16="M. Verstappen",3,0)+IF(Blad4!F16="A. Albon¹",3,0)+IF(Blad4!H16="M. Verstappen",4,0)+IF(Blad4!H16="A. Albon¹",4,0)+IF(Blad4!J16="M. Verstappen",5,0)+IF(Blad4!J16="A. Albon¹",5,0)+IF(Blad4!L16="M. Verstappen",6,0)+IF(Blad4!L16="A. Albon¹",6,0)+IF(Blad4!N16="M. Verstappen",7,0)+IF(Blad4!N16="A. Albon¹",7,0)+IF(Blad4!P16="M. Verstappen",8,0)+IF(Blad4!P16="A. Albon¹",8,0)+IF(Blad4!R16="M. Verstappen",9,0)+IF(Blad4!R16="A. Albon¹",9,0)+IF(Blad4!T16="M. Verstappen",10,0)+IF(Blad4!T16="A. Albon¹",10,0)+IF(Blad4!V16="M. Verstappen",11,0)+IF(Blad4!V16="A. Albon¹",11,0)+IF(Blad4!X16="M. Verstappen",12,0)+IF(Blad4!X16="A. Albon¹",12,0)+IF(Blad4!Z16="M. Verstappen",13,0)+IF(Blad4!Z16="A. Albon¹",13,0)+IF(Blad4!AB16="M. Verstappen",14,0)+IF(Blad4!AB16="A. Albon¹",14,0)+IF(Blad4!AD16="M. Verstappen",15,0)+IF(Blad4!AD16="A. Albon¹",15,0)+IF(Blad4!AF16="M. Verstappen",16,0)+IF(Blad4!AF16="A. Albon¹",16,0)+IF(Blad4!AH16="M. Verstappen",17,0)+IF(Blad4!AH16="A. Albon¹",17,0)+IF(Blad4!AJ16="M. Verstappen",18,0)+IF(Blad4!AJ16="A. Albon¹",18,0)+IF(Blad4!AL16="M. Verstappen",19,0)+IF(Blad4!AL16="A. Albon¹",19,0)+IF(Blad4!AN16="M. Verstappen",20,0)+IF(Blad4!AN16="A. Albon¹",20,0))/2</f>
        <v>0</v>
      </c>
      <c r="AQ27" s="709">
        <f>(IF(Blad4!B17="M. Verstappen",1,0)+IF(Blad4!B17="A. Albon¹",1,0)+IF(Blad4!D17="M. Verstappen",2,0)+IF(Blad4!D17="A. Albon¹",2,0)+IF(Blad4!F17="M. Verstappen",3,0)+IF(Blad4!F17="A. Albon¹",3,0)+IF(Blad4!H17="M. Verstappen",4,0)+IF(Blad4!H17="A. Albon¹",4,0)+IF(Blad4!J17="M. Verstappen",5,0)+IF(Blad4!J17="A. Albon¹",5,0)+IF(Blad4!L17="M. Verstappen",6,0)+IF(Blad4!L17="A. Albon¹",6,0)+IF(Blad4!N17="M. Verstappen",7,0)+IF(Blad4!N17="A. Albon¹",7,0)+IF(Blad4!P17="M. Verstappen",8,0)+IF(Blad4!P17="A. Albon¹",8,0)+IF(Blad4!R17="M. Verstappen",9,0)+IF(Blad4!R17="A. Albon¹",9,0)+IF(Blad4!T17="M. Verstappen",10,0)+IF(Blad4!T17="A. Albon¹",10,0)+IF(Blad4!V17="M. Verstappen",11,0)+IF(Blad4!V17="A. Albon¹",11,0)+IF(Blad4!X17="M. Verstappen",12,0)+IF(Blad4!X17="A. Albon¹",12,0)+IF(Blad4!Z17="M. Verstappen",13,0)+IF(Blad4!Z17="A. Albon¹",13,0)+IF(Blad4!AB17="M. Verstappen",14,0)+IF(Blad4!AB17="A. Albon¹",14,0)+IF(Blad4!AD17="M. Verstappen",15,0)+IF(Blad4!AD17="A. Albon¹",15,0)+IF(Blad4!AF17="M. Verstappen",16,0)+IF(Blad4!AF17="A. Albon¹",16,0)+IF(Blad4!AH17="M. Verstappen",17,0)+IF(Blad4!AH17="A. Albon¹",17,0)+IF(Blad4!AJ17="M. Verstappen",18,0)+IF(Blad4!AJ17="A. Albon¹",18,0)+IF(Blad4!AL17="M. Verstappen",19,0)+IF(Blad4!AL17="A. Albon¹",19,0)+IF(Blad4!AN17="M. Verstappen",20,0)+IF(Blad4!AN17="A. Albon¹",20,0))/2</f>
        <v>0</v>
      </c>
      <c r="AR27" s="709">
        <f>(IF(Blad4!B18="M. Verstappen",1,0)+IF(Blad4!B18="A. Albon¹",1,0)+IF(Blad4!D18="M. Verstappen",2,0)+IF(Blad4!D18="A. Albon¹",2,0)+IF(Blad4!F18="M. Verstappen",3,0)+IF(Blad4!F18="A. Albon¹",3,0)+IF(Blad4!H18="M. Verstappen",4,0)+IF(Blad4!H18="A. Albon¹",4,0)+IF(Blad4!J18="M. Verstappen",5,0)+IF(Blad4!J18="A. Albon¹",5,0)+IF(Blad4!L18="M. Verstappen",6,0)+IF(Blad4!L18="A. Albon¹",6,0)+IF(Blad4!N18="M. Verstappen",7,0)+IF(Blad4!N18="A. Albon¹",7,0)+IF(Blad4!P18="M. Verstappen",8,0)+IF(Blad4!P18="A. Albon¹",8,0)+IF(Blad4!R18="M. Verstappen",9,0)+IF(Blad4!R18="A. Albon¹",9,0)+IF(Blad4!T18="M. Verstappen",10,0)+IF(Blad4!T18="A. Albon¹",10,0)+IF(Blad4!V18="M. Verstappen",11,0)+IF(Blad4!V18="A. Albon¹",11,0)+IF(Blad4!X18="M. Verstappen",12,0)+IF(Blad4!X18="A. Albon¹",12,0)+IF(Blad4!Z18="M. Verstappen",13,0)+IF(Blad4!Z18="A. Albon¹",13,0)+IF(Blad4!AB18="M. Verstappen",14,0)+IF(Blad4!AB18="A. Albon¹",14,0)+IF(Blad4!AD18="M. Verstappen",15,0)+IF(Blad4!AD18="A. Albon¹",15,0)+IF(Blad4!AF18="M. Verstappen",16,0)+IF(Blad4!AF18="A. Albon¹",16,0)+IF(Blad4!AH18="M. Verstappen",17,0)+IF(Blad4!AH18="A. Albon¹",17,0)+IF(Blad4!AJ18="M. Verstappen",18,0)+IF(Blad4!AJ18="A. Albon¹",18,0)+IF(Blad4!AL18="M. Verstappen",19,0)+IF(Blad4!AL18="A. Albon¹",19,0)+IF(Blad4!AN18="M. Verstappen",20,0)+IF(Blad4!AN18="A. Albon¹",20,0))/2</f>
        <v>0</v>
      </c>
      <c r="AS27" s="709">
        <f>(IF(Blad4!B19="M. Verstappen",1,0)+IF(Blad4!B19="A. Albon¹",1,0)+IF(Blad4!D19="M. Verstappen",2,0)+IF(Blad4!D19="A. Albon¹",2,0)+IF(Blad4!F19="M. Verstappen",3,0)+IF(Blad4!F19="A. Albon¹",3,0)+IF(Blad4!H19="M. Verstappen",4,0)+IF(Blad4!H19="A. Albon¹",4,0)+IF(Blad4!J19="M. Verstappen",5,0)+IF(Blad4!J19="A. Albon¹",5,0)+IF(Blad4!L19="M. Verstappen",6,0)+IF(Blad4!L19="A. Albon¹",6,0)+IF(Blad4!N19="M. Verstappen",7,0)+IF(Blad4!N19="A. Albon¹",7,0)+IF(Blad4!P19="M. Verstappen",8,0)+IF(Blad4!P19="A. Albon¹",8,0)+IF(Blad4!R19="M. Verstappen",9,0)+IF(Blad4!R19="A. Albon¹",9,0)+IF(Blad4!T19="M. Verstappen",10,0)+IF(Blad4!T19="A. Albon¹",10,0)+IF(Blad4!V19="M. Verstappen",11,0)+IF(Blad4!V19="A. Albon¹",11,0)+IF(Blad4!X19="M. Verstappen",12,0)+IF(Blad4!X19="A. Albon¹",12,0)+IF(Blad4!Z19="M. Verstappen",13,0)+IF(Blad4!Z19="A. Albon¹",13,0)+IF(Blad4!AB19="M. Verstappen",14,0)+IF(Blad4!AB19="A. Albon¹",14,0)+IF(Blad4!AD19="M. Verstappen",15,0)+IF(Blad4!AD19="A. Albon¹",15,0)+IF(Blad4!AF19="M. Verstappen",16,0)+IF(Blad4!AF19="A. Albon¹",16,0)+IF(Blad4!AH19="M. Verstappen",17,0)+IF(Blad4!AH19="A. Albon¹",17,0)+IF(Blad4!AJ19="M. Verstappen",18,0)+IF(Blad4!AJ19="A. Albon¹",18,0)+IF(Blad4!AL19="M. Verstappen",19,0)+IF(Blad4!AL19="A. Albon¹",19,0)+IF(Blad4!AN19="M. Verstappen",20,0)+IF(Blad4!AN19="A. Albon¹",20,0))/2</f>
        <v>0</v>
      </c>
      <c r="AT27" s="709">
        <f>(IF(Blad4!B20="M. Verstappen",1,0)+IF(Blad4!B20="A. Albon¹",1,0)+IF(Blad4!D20="M. Verstappen",2,0)+IF(Blad4!D20="A. Albon¹",2,0)+IF(Blad4!F20="M. Verstappen",3,0)+IF(Blad4!F20="A. Albon¹",3,0)+IF(Blad4!H20="M. Verstappen",4,0)+IF(Blad4!H20="A. Albon¹",4,0)+IF(Blad4!J20="M. Verstappen",5,0)+IF(Blad4!J20="A. Albon¹",5,0)+IF(Blad4!L20="M. Verstappen",6,0)+IF(Blad4!L20="A. Albon¹",6,0)+IF(Blad4!N20="M. Verstappen",7,0)+IF(Blad4!N20="A. Albon¹",7,0)+IF(Blad4!P20="M. Verstappen",8,0)+IF(Blad4!P20="A. Albon¹",8,0)+IF(Blad4!R20="M. Verstappen",9,0)+IF(Blad4!R20="A. Albon¹",9,0)+IF(Blad4!T20="M. Verstappen",10,0)+IF(Blad4!T20="A. Albon¹",10,0)+IF(Blad4!V20="M. Verstappen",11,0)+IF(Blad4!V20="A. Albon¹",11,0)+IF(Blad4!X20="M. Verstappen",12,0)+IF(Blad4!X20="A. Albon¹",12,0)+IF(Blad4!Z20="M. Verstappen",13,0)+IF(Blad4!Z20="A. Albon¹",13,0)+IF(Blad4!AB20="M. Verstappen",14,0)+IF(Blad4!AB20="A. Albon¹",14,0)+IF(Blad4!AD20="M. Verstappen",15,0)+IF(Blad4!AD20="A. Albon¹",15,0)+IF(Blad4!AF20="M. Verstappen",16,0)+IF(Blad4!AF20="A. Albon¹",16,0)+IF(Blad4!AH20="M. Verstappen",17,0)+IF(Blad4!AH20="A. Albon¹",17,0)+IF(Blad4!AJ20="M. Verstappen",18,0)+IF(Blad4!AJ20="A. Albon¹",18,0)+IF(Blad4!AL20="M. Verstappen",19,0)+IF(Blad4!AL20="A. Albon¹",19,0)+IF(Blad4!AN20="M. Verstappen",20,0)+IF(Blad4!AN20="A. Albon¹",20,0))/2</f>
        <v>0</v>
      </c>
      <c r="AU27" s="709">
        <f>(IF(Blad4!B21="M. Verstappen",1,0)+IF(Blad4!B21="A. Albon¹",1,0)+IF(Blad4!D21="M. Verstappen",2,0)+IF(Blad4!D21="A. Albon¹",2,0)+IF(Blad4!F21="M. Verstappen",3,0)+IF(Blad4!F21="A. Albon¹",3,0)+IF(Blad4!H21="M. Verstappen",4,0)+IF(Blad4!H21="A. Albon¹",4,0)+IF(Blad4!J21="M. Verstappen",5,0)+IF(Blad4!J21="A. Albon¹",5,0)+IF(Blad4!L21="M. Verstappen",6,0)+IF(Blad4!L21="A. Albon¹",6,0)+IF(Blad4!N21="M. Verstappen",7,0)+IF(Blad4!N21="A. Albon¹",7,0)+IF(Blad4!P21="M. Verstappen",8,0)+IF(Blad4!P21="A. Albon¹",8,0)+IF(Blad4!R21="M. Verstappen",9,0)+IF(Blad4!R21="A. Albon¹",9,0)+IF(Blad4!T21="M. Verstappen",10,0)+IF(Blad4!T21="A. Albon¹",10,0)+IF(Blad4!V21="M. Verstappen",11,0)+IF(Blad4!V21="A. Albon¹",11,0)+IF(Blad4!X21="M. Verstappen",12,0)+IF(Blad4!X21="A. Albon¹",12,0)+IF(Blad4!Z21="M. Verstappen",13,0)+IF(Blad4!Z21="A. Albon¹",13,0)+IF(Blad4!AB21="M. Verstappen",14,0)+IF(Blad4!AB21="A. Albon¹",14,0)+IF(Blad4!AD21="M. Verstappen",15,0)+IF(Blad4!AD21="A. Albon¹",15,0)+IF(Blad4!AF21="M. Verstappen",16,0)+IF(Blad4!AF21="A. Albon¹",16,0)+IF(Blad4!AH21="M. Verstappen",17,0)+IF(Blad4!AH21="A. Albon¹",17,0)+IF(Blad4!AJ21="M. Verstappen",18,0)+IF(Blad4!AJ21="A. Albon¹",18,0)+IF(Blad4!AL21="M. Verstappen",19,0)+IF(Blad4!AL21="A. Albon¹",19,0)+IF(Blad4!AN21="M. Verstappen",20,0)+IF(Blad4!AN21="A. Albon¹",20,0))/2</f>
        <v>0</v>
      </c>
      <c r="AV27" s="710">
        <f>(IF(Blad4!B22="M. Verstappen",1,0)+IF(Blad4!B22="A. Albon¹",1,0)+IF(Blad4!D22="M. Verstappen",2,0)+IF(Blad4!D22="A. Albon¹",2,0)+IF(Blad4!F22="M. Verstappen",3,0)+IF(Blad4!F22="A. Albon¹",3,0)+IF(Blad4!H22="M. Verstappen",4,0)+IF(Blad4!H22="A. Albon¹",4,0)+IF(Blad4!J22="M. Verstappen",5,0)+IF(Blad4!J22="A. Albon¹",5,0)+IF(Blad4!L22="M. Verstappen",6,0)+IF(Blad4!L22="A. Albon¹",6,0)+IF(Blad4!N22="M. Verstappen",7,0)+IF(Blad4!N22="A. Albon¹",7,0)+IF(Blad4!P22="M. Verstappen",8,0)+IF(Blad4!P22="A. Albon¹",8,0)+IF(Blad4!R22="M. Verstappen",9,0)+IF(Blad4!R22="A. Albon¹",9,0)+IF(Blad4!T22="M. Verstappen",10,0)+IF(Blad4!T22="A. Albon¹",10,0)+IF(Blad4!V22="M. Verstappen",11,0)+IF(Blad4!V22="A. Albon¹",11,0)+IF(Blad4!X22="M. Verstappen",12,0)+IF(Blad4!X22="A. Albon¹",12,0)+IF(Blad4!Z22="M. Verstappen",13,0)+IF(Blad4!Z22="A. Albon¹",13,0)+IF(Blad4!AB22="M. Verstappen",14,0)+IF(Blad4!AB22="A. Albon¹",14,0)+IF(Blad4!AD22="M. Verstappen",15,0)+IF(Blad4!AD22="A. Albon¹",15,0)+IF(Blad4!AF22="M. Verstappen",16,0)+IF(Blad4!AF22="A. Albon¹",16,0)+IF(Blad4!AH22="M. Verstappen",17,0)+IF(Blad4!AH22="A. Albon¹",17,0)+IF(Blad4!AJ22="M. Verstappen",18,0)+IF(Blad4!AJ22="A. Albon¹",18,0)+IF(Blad4!AL22="M. Verstappen",19,0)+IF(Blad4!AL22="A. Albon¹",19,0)+IF(Blad4!AN22="M. Verstappen",20,0)+IF(Blad4!AN22="A. Albon¹",20,0))/2</f>
        <v>0</v>
      </c>
      <c r="AW27" s="674"/>
    </row>
    <row r="28" spans="27:49" x14ac:dyDescent="0.2">
      <c r="AA28" s="669" t="s">
        <v>397</v>
      </c>
      <c r="AB28" s="679"/>
      <c r="AC28" s="680"/>
      <c r="AD28" s="680"/>
      <c r="AE28" s="680"/>
      <c r="AF28" s="680"/>
      <c r="AG28" s="680"/>
      <c r="AH28" s="680"/>
      <c r="AI28" s="680"/>
      <c r="AJ28" s="680"/>
      <c r="AK28" s="680"/>
      <c r="AL28" s="680"/>
      <c r="AM28" s="680"/>
      <c r="AN28" s="680"/>
      <c r="AO28" s="680"/>
      <c r="AP28" s="680">
        <f>(IF(Blad4!B16="D. Ricciardo",1,0)+IF(Blad4!B16="N. Hulkenberg",1,0)+IF(Blad4!D16="D. Ricciardo",2,0)+IF(Blad4!D16="N. Hulkenberg",2,0)+IF(Blad4!F16="D. Ricciardo",3,0)+IF(Blad4!F16="N. Hulkenberg",3,0)+IF(Blad4!H16="D. Ricciardo",4,0)+IF(Blad4!H16="N. Hulkenberg",4,0)+IF(Blad4!J16="D. Ricciardo",5,0)+IF(Blad4!J16="N. Hulkenberg",5,0)+IF(Blad4!L16="D. Ricciardo",6,0)+IF(Blad4!L16="N. Hulkenberg",6,0)+IF(Blad4!N16="D. Ricciardo",7,0)+IF(Blad4!N16="N. Hulkenberg",7,0)+IF(Blad4!P16="D. Ricciardo",8,0)+IF(Blad4!P16="N. Hulkenberg",8,0)+IF(Blad4!R16="D. Ricciardo",9,0)+IF(Blad4!R16="N. Hulkenberg",9,0)+IF(Blad4!T16="D. Ricciardo",10,0)+IF(Blad4!T16="N. Hulkenberg",10,0)+IF(Blad4!V16="D. Ricciardo",11,0)+IF(Blad4!V16="N. Hulkenberg",11,0)+IF(Blad4!X16="D. Ricciardo",12,0)+IF(Blad4!X16="N. Hulkenberg",12,0)+IF(Blad4!Z16="D. Ricciardo",13,0)+IF(Blad4!Z16="N. Hulkenberg",13,0)+IF(Blad4!AB16="D. Ricciardo",14,0)+IF(Blad4!AB16="N. Hulkenberg",14,0)+IF(Blad4!AD16="D. Ricciardo",15,0)+IF(Blad4!AD16="N. Hulkenberg",15,0)+IF(Blad4!AF16="D. Ricciardo",16,0)+IF(Blad4!AF16="N. Hulkenberg",16,0)+IF(Blad4!AH16="D. Ricciardo",17,0)+IF(Blad4!AH16="N. Hulkenberg",17,0)+IF(Blad4!AJ16="D. Ricciardo",18,0)+IF(Blad4!AJ16="N. Hulkenberg",18,0)+IF(Blad4!AL16="D. Ricciardo",19,0)+IF(Blad4!AL16="N. Hulkenberg",19,0)+IF(Blad4!AN16="D. Ricciardo",20,0)+IF(Blad4!AN16="N. Hulkenberg",20,0))/2</f>
        <v>0</v>
      </c>
      <c r="AQ28" s="680">
        <f>(IF(Blad4!B17="D. Ricciardo",1,0)+IF(Blad4!B17="N. Hulkenberg",1,0)+IF(Blad4!D17="D. Ricciardo",2,0)+IF(Blad4!D17="N. Hulkenberg",2,0)+IF(Blad4!F17="D. Ricciardo",3,0)+IF(Blad4!F17="N. Hulkenberg",3,0)+IF(Blad4!H17="D. Ricciardo",4,0)+IF(Blad4!H17="N. Hulkenberg",4,0)+IF(Blad4!J17="D. Ricciardo",5,0)+IF(Blad4!J17="N. Hulkenberg",5,0)+IF(Blad4!L17="D. Ricciardo",6,0)+IF(Blad4!L17="N. Hulkenberg",6,0)+IF(Blad4!N17="D. Ricciardo",7,0)+IF(Blad4!N17="N. Hulkenberg",7,0)+IF(Blad4!P17="D. Ricciardo",8,0)+IF(Blad4!P17="N. Hulkenberg",8,0)+IF(Blad4!R17="D. Ricciardo",9,0)+IF(Blad4!R17="N. Hulkenberg",9,0)+IF(Blad4!T17="D. Ricciardo",10,0)+IF(Blad4!T17="N. Hulkenberg",10,0)+IF(Blad4!V17="D. Ricciardo",11,0)+IF(Blad4!V17="N. Hulkenberg",11,0)+IF(Blad4!X17="D. Ricciardo",12,0)+IF(Blad4!X17="N. Hulkenberg",12,0)+IF(Blad4!Z17="D. Ricciardo",13,0)+IF(Blad4!Z17="N. Hulkenberg",13,0)+IF(Blad4!AB17="D. Ricciardo",14,0)+IF(Blad4!AB17="N. Hulkenberg",14,0)+IF(Blad4!AD17="D. Ricciardo",15,0)+IF(Blad4!AD17="N. Hulkenberg",15,0)+IF(Blad4!AF17="D. Ricciardo",16,0)+IF(Blad4!AF17="N. Hulkenberg",16,0)+IF(Blad4!AH17="D. Ricciardo",17,0)+IF(Blad4!AH17="N. Hulkenberg",17,0)+IF(Blad4!AJ17="D. Ricciardo",18,0)+IF(Blad4!AJ17="N. Hulkenberg",18,0)+IF(Blad4!AL17="D. Ricciardo",19,0)+IF(Blad4!AL17="N. Hulkenberg",19,0)+IF(Blad4!AN17="D. Ricciardo",20,0)+IF(Blad4!AN17="N. Hulkenberg",20,0))/2</f>
        <v>0</v>
      </c>
      <c r="AR28" s="680">
        <f>(IF(Blad4!B18="D. Ricciardo",1,0)+IF(Blad4!B18="N. Hulkenberg",1,0)+IF(Blad4!D18="D. Ricciardo",2,0)+IF(Blad4!D18="N. Hulkenberg",2,0)+IF(Blad4!F18="D. Ricciardo",3,0)+IF(Blad4!F18="N. Hulkenberg",3,0)+IF(Blad4!H18="D. Ricciardo",4,0)+IF(Blad4!H18="N. Hulkenberg",4,0)+IF(Blad4!J18="D. Ricciardo",5,0)+IF(Blad4!J18="N. Hulkenberg",5,0)+IF(Blad4!L18="D. Ricciardo",6,0)+IF(Blad4!L18="N. Hulkenberg",6,0)+IF(Blad4!N18="D. Ricciardo",7,0)+IF(Blad4!N18="N. Hulkenberg",7,0)+IF(Blad4!P18="D. Ricciardo",8,0)+IF(Blad4!P18="N. Hulkenberg",8,0)+IF(Blad4!R18="D. Ricciardo",9,0)+IF(Blad4!R18="N. Hulkenberg",9,0)+IF(Blad4!T18="D. Ricciardo",10,0)+IF(Blad4!T18="N. Hulkenberg",10,0)+IF(Blad4!V18="D. Ricciardo",11,0)+IF(Blad4!V18="N. Hulkenberg",11,0)+IF(Blad4!X18="D. Ricciardo",12,0)+IF(Blad4!X18="N. Hulkenberg",12,0)+IF(Blad4!Z18="D. Ricciardo",13,0)+IF(Blad4!Z18="N. Hulkenberg",13,0)+IF(Blad4!AB18="D. Ricciardo",14,0)+IF(Blad4!AB18="N. Hulkenberg",14,0)+IF(Blad4!AD18="D. Ricciardo",15,0)+IF(Blad4!AD18="N. Hulkenberg",15,0)+IF(Blad4!AF18="D. Ricciardo",16,0)+IF(Blad4!AF18="N. Hulkenberg",16,0)+IF(Blad4!AH18="D. Ricciardo",17,0)+IF(Blad4!AH18="N. Hulkenberg",17,0)+IF(Blad4!AJ18="D. Ricciardo",18,0)+IF(Blad4!AJ18="N. Hulkenberg",18,0)+IF(Blad4!AL18="D. Ricciardo",19,0)+IF(Blad4!AL18="N. Hulkenberg",19,0)+IF(Blad4!AN18="D. Ricciardo",20,0)+IF(Blad4!AN18="N. Hulkenberg",20,0))/2</f>
        <v>0</v>
      </c>
      <c r="AS28" s="680">
        <f>(IF(Blad4!B19="D. Ricciardo",1,0)+IF(Blad4!B19="N. Hulkenberg",1,0)+IF(Blad4!D19="D. Ricciardo",2,0)+IF(Blad4!D19="N. Hulkenberg",2,0)+IF(Blad4!F19="D. Ricciardo",3,0)+IF(Blad4!F19="N. Hulkenberg",3,0)+IF(Blad4!H19="D. Ricciardo",4,0)+IF(Blad4!H19="N. Hulkenberg",4,0)+IF(Blad4!J19="D. Ricciardo",5,0)+IF(Blad4!J19="N. Hulkenberg",5,0)+IF(Blad4!L19="D. Ricciardo",6,0)+IF(Blad4!L19="N. Hulkenberg",6,0)+IF(Blad4!N19="D. Ricciardo",7,0)+IF(Blad4!N19="N. Hulkenberg",7,0)+IF(Blad4!P19="D. Ricciardo",8,0)+IF(Blad4!P19="N. Hulkenberg",8,0)+IF(Blad4!R19="D. Ricciardo",9,0)+IF(Blad4!R19="N. Hulkenberg",9,0)+IF(Blad4!T19="D. Ricciardo",10,0)+IF(Blad4!T19="N. Hulkenberg",10,0)+IF(Blad4!V19="D. Ricciardo",11,0)+IF(Blad4!V19="N. Hulkenberg",11,0)+IF(Blad4!X19="D. Ricciardo",12,0)+IF(Blad4!X19="N. Hulkenberg",12,0)+IF(Blad4!Z19="D. Ricciardo",13,0)+IF(Blad4!Z19="N. Hulkenberg",13,0)+IF(Blad4!AB19="D. Ricciardo",14,0)+IF(Blad4!AB19="N. Hulkenberg",14,0)+IF(Blad4!AD19="D. Ricciardo",15,0)+IF(Blad4!AD19="N. Hulkenberg",15,0)+IF(Blad4!AF19="D. Ricciardo",16,0)+IF(Blad4!AF19="N. Hulkenberg",16,0)+IF(Blad4!AH19="D. Ricciardo",17,0)+IF(Blad4!AH19="N. Hulkenberg",17,0)+IF(Blad4!AJ19="D. Ricciardo",18,0)+IF(Blad4!AJ19="N. Hulkenberg",18,0)+IF(Blad4!AL19="D. Ricciardo",19,0)+IF(Blad4!AL19="N. Hulkenberg",19,0)+IF(Blad4!AN19="D. Ricciardo",20,0)+IF(Blad4!AN19="N. Hulkenberg",20,0))/2</f>
        <v>0</v>
      </c>
      <c r="AT28" s="680">
        <f>(IF(Blad4!B20="D. Ricciardo",1,0)+IF(Blad4!B20="N. Hulkenberg",1,0)+IF(Blad4!D20="D. Ricciardo",2,0)+IF(Blad4!D20="N. Hulkenberg",2,0)+IF(Blad4!F20="D. Ricciardo",3,0)+IF(Blad4!F20="N. Hulkenberg",3,0)+IF(Blad4!H20="D. Ricciardo",4,0)+IF(Blad4!H20="N. Hulkenberg",4,0)+IF(Blad4!J20="D. Ricciardo",5,0)+IF(Blad4!J20="N. Hulkenberg",5,0)+IF(Blad4!L20="D. Ricciardo",6,0)+IF(Blad4!L20="N. Hulkenberg",6,0)+IF(Blad4!N20="D. Ricciardo",7,0)+IF(Blad4!N20="N. Hulkenberg",7,0)+IF(Blad4!P20="D. Ricciardo",8,0)+IF(Blad4!P20="N. Hulkenberg",8,0)+IF(Blad4!R20="D. Ricciardo",9,0)+IF(Blad4!R20="N. Hulkenberg",9,0)+IF(Blad4!T20="D. Ricciardo",10,0)+IF(Blad4!T20="N. Hulkenberg",10,0)+IF(Blad4!V20="D. Ricciardo",11,0)+IF(Blad4!V20="N. Hulkenberg",11,0)+IF(Blad4!X20="D. Ricciardo",12,0)+IF(Blad4!X20="N. Hulkenberg",12,0)+IF(Blad4!Z20="D. Ricciardo",13,0)+IF(Blad4!Z20="N. Hulkenberg",13,0)+IF(Blad4!AB20="D. Ricciardo",14,0)+IF(Blad4!AB20="N. Hulkenberg",14,0)+IF(Blad4!AD20="D. Ricciardo",15,0)+IF(Blad4!AD20="N. Hulkenberg",15,0)+IF(Blad4!AF20="D. Ricciardo",16,0)+IF(Blad4!AF20="N. Hulkenberg",16,0)+IF(Blad4!AH20="D. Ricciardo",17,0)+IF(Blad4!AH20="N. Hulkenberg",17,0)+IF(Blad4!AJ20="D. Ricciardo",18,0)+IF(Blad4!AJ20="N. Hulkenberg",18,0)+IF(Blad4!AL20="D. Ricciardo",19,0)+IF(Blad4!AL20="N. Hulkenberg",19,0)+IF(Blad4!AN20="D. Ricciardo",20,0)+IF(Blad4!AN20="N. Hulkenberg",20,0))/2</f>
        <v>0</v>
      </c>
      <c r="AU28" s="680">
        <f>(IF(Blad4!B21="D. Ricciardo",1,0)+IF(Blad4!B21="N. Hulkenberg",1,0)+IF(Blad4!D21="D. Ricciardo",2,0)+IF(Blad4!D21="N. Hulkenberg",2,0)+IF(Blad4!F21="D. Ricciardo",3,0)+IF(Blad4!F21="N. Hulkenberg",3,0)+IF(Blad4!H21="D. Ricciardo",4,0)+IF(Blad4!H21="N. Hulkenberg",4,0)+IF(Blad4!J21="D. Ricciardo",5,0)+IF(Blad4!J21="N. Hulkenberg",5,0)+IF(Blad4!L21="D. Ricciardo",6,0)+IF(Blad4!L21="N. Hulkenberg",6,0)+IF(Blad4!N21="D. Ricciardo",7,0)+IF(Blad4!N21="N. Hulkenberg",7,0)+IF(Blad4!P21="D. Ricciardo",8,0)+IF(Blad4!P21="N. Hulkenberg",8,0)+IF(Blad4!R21="D. Ricciardo",9,0)+IF(Blad4!R21="N. Hulkenberg",9,0)+IF(Blad4!T21="D. Ricciardo",10,0)+IF(Blad4!T21="N. Hulkenberg",10,0)+IF(Blad4!V21="D. Ricciardo",11,0)+IF(Blad4!V21="N. Hulkenberg",11,0)+IF(Blad4!X21="D. Ricciardo",12,0)+IF(Blad4!X21="N. Hulkenberg",12,0)+IF(Blad4!Z21="D. Ricciardo",13,0)+IF(Blad4!Z21="N. Hulkenberg",13,0)+IF(Blad4!AB21="D. Ricciardo",14,0)+IF(Blad4!AB21="N. Hulkenberg",14,0)+IF(Blad4!AD21="D. Ricciardo",15,0)+IF(Blad4!AD21="N. Hulkenberg",15,0)+IF(Blad4!AF21="D. Ricciardo",16,0)+IF(Blad4!AF21="N. Hulkenberg",16,0)+IF(Blad4!AH21="D. Ricciardo",17,0)+IF(Blad4!AH21="N. Hulkenberg",17,0)+IF(Blad4!AJ21="D. Ricciardo",18,0)+IF(Blad4!AJ21="N. Hulkenberg",18,0)+IF(Blad4!AL21="D. Ricciardo",19,0)+IF(Blad4!AL21="N. Hulkenberg",19,0)+IF(Blad4!AN21="D. Ricciardo",20,0)+IF(Blad4!AN21="N. Hulkenberg",20,0))/2</f>
        <v>0</v>
      </c>
      <c r="AV28" s="681">
        <f>(IF(Blad4!B22="D. Ricciardo",1,0)+IF(Blad4!B22="N. Hulkenberg",1,0)+IF(Blad4!D22="D. Ricciardo",2,0)+IF(Blad4!D22="N. Hulkenberg",2,0)+IF(Blad4!F22="D. Ricciardo",3,0)+IF(Blad4!F22="N. Hulkenberg",3,0)+IF(Blad4!H22="D. Ricciardo",4,0)+IF(Blad4!H22="N. Hulkenberg",4,0)+IF(Blad4!J22="D. Ricciardo",5,0)+IF(Blad4!J22="N. Hulkenberg",5,0)+IF(Blad4!L22="D. Ricciardo",6,0)+IF(Blad4!L22="N. Hulkenberg",6,0)+IF(Blad4!N22="D. Ricciardo",7,0)+IF(Blad4!N22="N. Hulkenberg",7,0)+IF(Blad4!P22="D. Ricciardo",8,0)+IF(Blad4!P22="N. Hulkenberg",8,0)+IF(Blad4!R22="D. Ricciardo",9,0)+IF(Blad4!R22="N. Hulkenberg",9,0)+IF(Blad4!T22="D. Ricciardo",10,0)+IF(Blad4!T22="N. Hulkenberg",10,0)+IF(Blad4!V22="D. Ricciardo",11,0)+IF(Blad4!V22="N. Hulkenberg",11,0)+IF(Blad4!X22="D. Ricciardo",12,0)+IF(Blad4!X22="N. Hulkenberg",12,0)+IF(Blad4!Z22="D. Ricciardo",13,0)+IF(Blad4!Z22="N. Hulkenberg",13,0)+IF(Blad4!AB22="D. Ricciardo",14,0)+IF(Blad4!AB22="N. Hulkenberg",14,0)+IF(Blad4!AD22="D. Ricciardo",15,0)+IF(Blad4!AD22="N. Hulkenberg",15,0)+IF(Blad4!AF22="D. Ricciardo",16,0)+IF(Blad4!AF22="N. Hulkenberg",16,0)+IF(Blad4!AH22="D. Ricciardo",17,0)+IF(Blad4!AH22="N. Hulkenberg",17,0)+IF(Blad4!AJ22="D. Ricciardo",18,0)+IF(Blad4!AJ22="N. Hulkenberg",18,0)+IF(Blad4!AL22="D. Ricciardo",19,0)+IF(Blad4!AL22="N. Hulkenberg",19,0)+IF(Blad4!AN22="D. Ricciardo",20,0)+IF(Blad4!AN22="N. Hulkenberg",20,0))/2</f>
        <v>0</v>
      </c>
      <c r="AW28" s="674"/>
    </row>
    <row r="29" spans="27:49" x14ac:dyDescent="0.2">
      <c r="AA29" s="669" t="s">
        <v>427</v>
      </c>
      <c r="AB29" s="679"/>
      <c r="AC29" s="680"/>
      <c r="AD29" s="680"/>
      <c r="AE29" s="680"/>
      <c r="AF29" s="680"/>
      <c r="AG29" s="680"/>
      <c r="AH29" s="680"/>
      <c r="AI29" s="680"/>
      <c r="AJ29" s="680"/>
      <c r="AK29" s="680"/>
      <c r="AL29" s="680"/>
      <c r="AM29" s="680"/>
      <c r="AN29" s="680"/>
      <c r="AO29" s="680"/>
      <c r="AP29" s="680">
        <f>(IF(Blad4!B16="R. Grosjean",1,0)+IF(Blad4!B16="K. Magnussen",1,0)+IF(Blad4!D16="R. Grosjean",2,0)+IF(Blad4!D16="K. Magnussen",2,0)+IF(Blad4!F16="R. Grosjean",3,0)+IF(Blad4!F16="K. Magnussen",3,0)+IF(Blad4!H16="R. Grosjean",4,0)+IF(Blad4!H16="K. Magnussen",4,0)+IF(Blad4!J16="R. Grosjean",5,0)+IF(Blad4!J16="K. Magnussen",5,0)+IF(Blad4!L16="R. Grosjean",6,0)+IF(Blad4!L16="K. Magnussen",6,0)+IF(Blad4!N16="R. Grosjean",7,0)+IF(Blad4!N16="K. Magnussen",7,0)+IF(Blad4!P16="R. Grosjean",8,0)+IF(Blad4!P16="K. Magnussen",8,0)+IF(Blad4!R16="R. Grosjean",9,0)+IF(Blad4!R16="K. Magnussen",9,0)+IF(Blad4!T16="R. Grosjean",10,0)+IF(Blad4!T16="K. Magnussen",10,0)+IF(Blad4!V16="R. Grosjean",11,0)+IF(Blad4!V16="K. Magnussen",11,0)+IF(Blad4!X16="R. Grosjean",12,0)+IF(Blad4!X16="K. Magnussen",12,0)+IF(Blad4!Z16="R. Grosjean",13,0)+IF(Blad4!Z16="K. Magnussen",13,0)+IF(Blad4!AB16="R. Grosjean",14,0)+IF(Blad4!AB16="K. Magnussen",14,0)+IF(Blad4!AD16="R. Grosjean",15,0)+IF(Blad4!AD16="K. Magnussen",15,0)+IF(Blad4!AF16="R. Grosjean",16,0)+IF(Blad4!AF16="K. Magnussen",16,0)+IF(Blad4!AH16="R. Grosjean",17,0)+IF(Blad4!AH16="K. Magnussen",17,0)+IF(Blad4!AJ16="R. Grosjean",18,0)+IF(Blad4!AJ16="K. Magnussen",18,0)+IF(Blad4!AL16="R. Grosjean",19,0)+IF(Blad4!AL16="K. Magnussen",19,0)+IF(Blad4!AN16="R. Grosjean",20,0)+IF(Blad4!AN16="K. Magnussen",20,0))/2</f>
        <v>0</v>
      </c>
      <c r="AQ29" s="680">
        <f>(IF(Blad4!B17="R. Grosjean",1,0)+IF(Blad4!B17="K. Magnussen",1,0)+IF(Blad4!D17="R. Grosjean",2,0)+IF(Blad4!D17="K. Magnussen",2,0)+IF(Blad4!F17="R. Grosjean",3,0)+IF(Blad4!F17="K. Magnussen",3,0)+IF(Blad4!H17="R. Grosjean",4,0)+IF(Blad4!H17="K. Magnussen",4,0)+IF(Blad4!J17="R. Grosjean",5,0)+IF(Blad4!J17="K. Magnussen",5,0)+IF(Blad4!L17="R. Grosjean",6,0)+IF(Blad4!L17="K. Magnussen",6,0)+IF(Blad4!N17="R. Grosjean",7,0)+IF(Blad4!N17="K. Magnussen",7,0)+IF(Blad4!P17="R. Grosjean",8,0)+IF(Blad4!P17="K. Magnussen",8,0)+IF(Blad4!R17="R. Grosjean",9,0)+IF(Blad4!R17="K. Magnussen",9,0)+IF(Blad4!T17="R. Grosjean",10,0)+IF(Blad4!T17="K. Magnussen",10,0)+IF(Blad4!V17="R. Grosjean",11,0)+IF(Blad4!V17="K. Magnussen",11,0)+IF(Blad4!X17="R. Grosjean",12,0)+IF(Blad4!X17="K. Magnussen",12,0)+IF(Blad4!Z17="R. Grosjean",13,0)+IF(Blad4!Z17="K. Magnussen",13,0)+IF(Blad4!AB17="R. Grosjean",14,0)+IF(Blad4!AB17="K. Magnussen",14,0)+IF(Blad4!AD17="R. Grosjean",15,0)+IF(Blad4!AD17="K. Magnussen",15,0)+IF(Blad4!AF17="R. Grosjean",16,0)+IF(Blad4!AF17="K. Magnussen",16,0)+IF(Blad4!AH17="R. Grosjean",17,0)+IF(Blad4!AH17="K. Magnussen",17,0)+IF(Blad4!AJ17="R. Grosjean",18,0)+IF(Blad4!AJ17="K. Magnussen",18,0)+IF(Blad4!AL17="R. Grosjean",19,0)+IF(Blad4!AL17="K. Magnussen",19,0)+IF(Blad4!AN17="R. Grosjean",20,0)+IF(Blad4!AN17="K. Magnussen",20,0))/2</f>
        <v>0</v>
      </c>
      <c r="AR29" s="680">
        <f>(IF(Blad4!B18="R. Grosjean",1,0)+IF(Blad4!B18="K. Magnussen",1,0)+IF(Blad4!D18="R. Grosjean",2,0)+IF(Blad4!D18="K. Magnussen",2,0)+IF(Blad4!F18="R. Grosjean",3,0)+IF(Blad4!F18="K. Magnussen",3,0)+IF(Blad4!H18="R. Grosjean",4,0)+IF(Blad4!H18="K. Magnussen",4,0)+IF(Blad4!J18="R. Grosjean",5,0)+IF(Blad4!J18="K. Magnussen",5,0)+IF(Blad4!L18="R. Grosjean",6,0)+IF(Blad4!L18="K. Magnussen",6,0)+IF(Blad4!N18="R. Grosjean",7,0)+IF(Blad4!N18="K. Magnussen",7,0)+IF(Blad4!P18="R. Grosjean",8,0)+IF(Blad4!P18="K. Magnussen",8,0)+IF(Blad4!R18="R. Grosjean",9,0)+IF(Blad4!R18="K. Magnussen",9,0)+IF(Blad4!T18="R. Grosjean",10,0)+IF(Blad4!T18="K. Magnussen",10,0)+IF(Blad4!V18="R. Grosjean",11,0)+IF(Blad4!V18="K. Magnussen",11,0)+IF(Blad4!X18="R. Grosjean",12,0)+IF(Blad4!X18="K. Magnussen",12,0)+IF(Blad4!Z18="R. Grosjean",13,0)+IF(Blad4!Z18="K. Magnussen",13,0)+IF(Blad4!AB18="R. Grosjean",14,0)+IF(Blad4!AB18="K. Magnussen",14,0)+IF(Blad4!AD18="R. Grosjean",15,0)+IF(Blad4!AD18="K. Magnussen",15,0)+IF(Blad4!AF18="R. Grosjean",16,0)+IF(Blad4!AF18="K. Magnussen",16,0)+IF(Blad4!AH18="R. Grosjean",17,0)+IF(Blad4!AH18="K. Magnussen",17,0)+IF(Blad4!AJ18="R. Grosjean",18,0)+IF(Blad4!AJ18="K. Magnussen",18,0)+IF(Blad4!AL18="R. Grosjean",19,0)+IF(Blad4!AL18="K. Magnussen",19,0)+IF(Blad4!AN18="R. Grosjean",20,0)+IF(Blad4!AN18="K. Magnussen",20,0))/2</f>
        <v>0</v>
      </c>
      <c r="AS29" s="680">
        <f>(IF(Blad4!B19="R. Grosjean",1,0)+IF(Blad4!B19="K. Magnussen",1,0)+IF(Blad4!D19="R. Grosjean",2,0)+IF(Blad4!D19="K. Magnussen",2,0)+IF(Blad4!F19="R. Grosjean",3,0)+IF(Blad4!F19="K. Magnussen",3,0)+IF(Blad4!H19="R. Grosjean",4,0)+IF(Blad4!H19="K. Magnussen",4,0)+IF(Blad4!J19="R. Grosjean",5,0)+IF(Blad4!J19="K. Magnussen",5,0)+IF(Blad4!L19="R. Grosjean",6,0)+IF(Blad4!L19="K. Magnussen",6,0)+IF(Blad4!N19="R. Grosjean",7,0)+IF(Blad4!N19="K. Magnussen",7,0)+IF(Blad4!P19="R. Grosjean",8,0)+IF(Blad4!P19="K. Magnussen",8,0)+IF(Blad4!R19="R. Grosjean",9,0)+IF(Blad4!R19="K. Magnussen",9,0)+IF(Blad4!T19="R. Grosjean",10,0)+IF(Blad4!T19="K. Magnussen",10,0)+IF(Blad4!V19="R. Grosjean",11,0)+IF(Blad4!V19="K. Magnussen",11,0)+IF(Blad4!X19="R. Grosjean",12,0)+IF(Blad4!X19="K. Magnussen",12,0)+IF(Blad4!Z19="R. Grosjean",13,0)+IF(Blad4!Z19="K. Magnussen",13,0)+IF(Blad4!AB19="R. Grosjean",14,0)+IF(Blad4!AB19="K. Magnussen",14,0)+IF(Blad4!AD19="R. Grosjean",15,0)+IF(Blad4!AD19="K. Magnussen",15,0)+IF(Blad4!AF19="R. Grosjean",16,0)+IF(Blad4!AF19="K. Magnussen",16,0)+IF(Blad4!AH19="R. Grosjean",17,0)+IF(Blad4!AH19="K. Magnussen",17,0)+IF(Blad4!AJ19="R. Grosjean",18,0)+IF(Blad4!AJ19="K. Magnussen",18,0)+IF(Blad4!AL19="R. Grosjean",19,0)+IF(Blad4!AL19="K. Magnussen",19,0)+IF(Blad4!AN19="R. Grosjean",20,0)+IF(Blad4!AN19="K. Magnussen",20,0))/2</f>
        <v>0</v>
      </c>
      <c r="AT29" s="680">
        <f>(IF(Blad4!B20="R. Grosjean",1,0)+IF(Blad4!B20="K. Magnussen",1,0)+IF(Blad4!D20="R. Grosjean",2,0)+IF(Blad4!D20="K. Magnussen",2,0)+IF(Blad4!F20="R. Grosjean",3,0)+IF(Blad4!F20="K. Magnussen",3,0)+IF(Blad4!H20="R. Grosjean",4,0)+IF(Blad4!H20="K. Magnussen",4,0)+IF(Blad4!J20="R. Grosjean",5,0)+IF(Blad4!J20="K. Magnussen",5,0)+IF(Blad4!L20="R. Grosjean",6,0)+IF(Blad4!L20="K. Magnussen",6,0)+IF(Blad4!N20="R. Grosjean",7,0)+IF(Blad4!N20="K. Magnussen",7,0)+IF(Blad4!P20="R. Grosjean",8,0)+IF(Blad4!P20="K. Magnussen",8,0)+IF(Blad4!R20="R. Grosjean",9,0)+IF(Blad4!R20="K. Magnussen",9,0)+IF(Blad4!T20="R. Grosjean",10,0)+IF(Blad4!T20="K. Magnussen",10,0)+IF(Blad4!V20="R. Grosjean",11,0)+IF(Blad4!V20="K. Magnussen",11,0)+IF(Blad4!X20="R. Grosjean",12,0)+IF(Blad4!X20="K. Magnussen",12,0)+IF(Blad4!Z20="R. Grosjean",13,0)+IF(Blad4!Z20="K. Magnussen",13,0)+IF(Blad4!AB20="R. Grosjean",14,0)+IF(Blad4!AB20="K. Magnussen",14,0)+IF(Blad4!AD20="R. Grosjean",15,0)+IF(Blad4!AD20="K. Magnussen",15,0)+IF(Blad4!AF20="R. Grosjean",16,0)+IF(Blad4!AF20="K. Magnussen",16,0)+IF(Blad4!AH20="R. Grosjean",17,0)+IF(Blad4!AH20="K. Magnussen",17,0)+IF(Blad4!AJ20="R. Grosjean",18,0)+IF(Blad4!AJ20="K. Magnussen",18,0)+IF(Blad4!AL20="R. Grosjean",19,0)+IF(Blad4!AL20="K. Magnussen",19,0)+IF(Blad4!AN20="R. Grosjean",20,0)+IF(Blad4!AN20="K. Magnussen",20,0))/2</f>
        <v>0</v>
      </c>
      <c r="AU29" s="680">
        <f>(IF(Blad4!B21="R. Grosjean",1,0)+IF(Blad4!B21="K. Magnussen",1,0)+IF(Blad4!D21="R. Grosjean",2,0)+IF(Blad4!D21="K. Magnussen",2,0)+IF(Blad4!F21="R. Grosjean",3,0)+IF(Blad4!F21="K. Magnussen",3,0)+IF(Blad4!H21="R. Grosjean",4,0)+IF(Blad4!H21="K. Magnussen",4,0)+IF(Blad4!J21="R. Grosjean",5,0)+IF(Blad4!J21="K. Magnussen",5,0)+IF(Blad4!L21="R. Grosjean",6,0)+IF(Blad4!L21="K. Magnussen",6,0)+IF(Blad4!N21="R. Grosjean",7,0)+IF(Blad4!N21="K. Magnussen",7,0)+IF(Blad4!P21="R. Grosjean",8,0)+IF(Blad4!P21="K. Magnussen",8,0)+IF(Blad4!R21="R. Grosjean",9,0)+IF(Blad4!R21="K. Magnussen",9,0)+IF(Blad4!T21="R. Grosjean",10,0)+IF(Blad4!T21="K. Magnussen",10,0)+IF(Blad4!V21="R. Grosjean",11,0)+IF(Blad4!V21="K. Magnussen",11,0)+IF(Blad4!X21="R. Grosjean",12,0)+IF(Blad4!X21="K. Magnussen",12,0)+IF(Blad4!Z21="R. Grosjean",13,0)+IF(Blad4!Z21="K. Magnussen",13,0)+IF(Blad4!AB21="R. Grosjean",14,0)+IF(Blad4!AB21="K. Magnussen",14,0)+IF(Blad4!AD21="R. Grosjean",15,0)+IF(Blad4!AD21="K. Magnussen",15,0)+IF(Blad4!AF21="R. Grosjean",16,0)+IF(Blad4!AF21="K. Magnussen",16,0)+IF(Blad4!AH21="R. Grosjean",17,0)+IF(Blad4!AH21="K. Magnussen",17,0)+IF(Blad4!AJ21="R. Grosjean",18,0)+IF(Blad4!AJ21="K. Magnussen",18,0)+IF(Blad4!AL21="R. Grosjean",19,0)+IF(Blad4!AL21="K. Magnussen",19,0)+IF(Blad4!AN21="R. Grosjean",20,0)+IF(Blad4!AN21="K. Magnussen",20,0))/2</f>
        <v>0</v>
      </c>
      <c r="AV29" s="681">
        <f>(IF(Blad4!B22="R. Grosjean",1,0)+IF(Blad4!B22="K. Magnussen",1,0)+IF(Blad4!D22="R. Grosjean",2,0)+IF(Blad4!D22="K. Magnussen",2,0)+IF(Blad4!F22="R. Grosjean",3,0)+IF(Blad4!F22="K. Magnussen",3,0)+IF(Blad4!H22="R. Grosjean",4,0)+IF(Blad4!H22="K. Magnussen",4,0)+IF(Blad4!J22="R. Grosjean",5,0)+IF(Blad4!J22="K. Magnussen",5,0)+IF(Blad4!L22="R. Grosjean",6,0)+IF(Blad4!L22="K. Magnussen",6,0)+IF(Blad4!N22="R. Grosjean",7,0)+IF(Blad4!N22="K. Magnussen",7,0)+IF(Blad4!P22="R. Grosjean",8,0)+IF(Blad4!P22="K. Magnussen",8,0)+IF(Blad4!R22="R. Grosjean",9,0)+IF(Blad4!R22="K. Magnussen",9,0)+IF(Blad4!T22="R. Grosjean",10,0)+IF(Blad4!T22="K. Magnussen",10,0)+IF(Blad4!V22="R. Grosjean",11,0)+IF(Blad4!V22="K. Magnussen",11,0)+IF(Blad4!X22="R. Grosjean",12,0)+IF(Blad4!X22="K. Magnussen",12,0)+IF(Blad4!Z22="R. Grosjean",13,0)+IF(Blad4!Z22="K. Magnussen",13,0)+IF(Blad4!AB22="R. Grosjean",14,0)+IF(Blad4!AB22="K. Magnussen",14,0)+IF(Blad4!AD22="R. Grosjean",15,0)+IF(Blad4!AD22="K. Magnussen",15,0)+IF(Blad4!AF22="R. Grosjean",16,0)+IF(Blad4!AF22="K. Magnussen",16,0)+IF(Blad4!AH22="R. Grosjean",17,0)+IF(Blad4!AH22="K. Magnussen",17,0)+IF(Blad4!AJ22="R. Grosjean",18,0)+IF(Blad4!AJ22="K. Magnussen",18,0)+IF(Blad4!AL22="R. Grosjean",19,0)+IF(Blad4!AL22="K. Magnussen",19,0)+IF(Blad4!AN22="R. Grosjean",20,0)+IF(Blad4!AN22="K. Magnussen",20,0))/2</f>
        <v>0</v>
      </c>
      <c r="AW29" s="674"/>
    </row>
    <row r="30" spans="27:49" x14ac:dyDescent="0.2">
      <c r="AA30" s="669" t="s">
        <v>65</v>
      </c>
      <c r="AB30" s="679"/>
      <c r="AC30" s="680"/>
      <c r="AD30" s="680"/>
      <c r="AE30" s="680"/>
      <c r="AF30" s="680"/>
      <c r="AG30" s="680"/>
      <c r="AH30" s="680"/>
      <c r="AI30" s="680"/>
      <c r="AJ30" s="680"/>
      <c r="AK30" s="680"/>
      <c r="AL30" s="680"/>
      <c r="AM30" s="680"/>
      <c r="AN30" s="680"/>
      <c r="AO30" s="680"/>
      <c r="AP30" s="680">
        <f>(IF(Blad4!B16="C. Sainz",1,0)+IF(Blad4!B16="L. Norris",1,0)+IF(Blad4!D16="C. Sainz",2,0)+IF(Blad4!D16="L. Norris",2,0)+IF(Blad4!F16="C. Sainz",3,0)+IF(Blad4!F16="L. Norris",3,0)+IF(Blad4!H16="C. Sainz",4,0)+IF(Blad4!H16="L. Norris",4,0)+IF(Blad4!J16="C. Sainz",5,0)+IF(Blad4!J16="L. Norris",5,0)+IF(Blad4!L16="C. Sainz",6,0)+IF(Blad4!L16="L. Norris",6,0)+IF(Blad4!N16="C. Sainz",7,0)+IF(Blad4!N16="L. Norris",7,0)+IF(Blad4!P16="C. Sainz",8,0)+IF(Blad4!P16="L. Norris",8,0)+IF(Blad4!R16="C. Sainz",9,0)+IF(Blad4!R16="L. Norris",9,0)+IF(Blad4!T16="C. Sainz",10,0)+IF(Blad4!T16="L. Norris",10,0)+IF(Blad4!V16="C. Sainz",11,0)+IF(Blad4!V16="L. Norris",11,0)+IF(Blad4!X16="C. Sainz",12,0)+IF(Blad4!X16="L. Norris",12,0)+IF(Blad4!Z16="C. Sainz",13,0)+IF(Blad4!Z16="L. Norris",13,0)+IF(Blad4!AB16="C. Sainz",14,0)+IF(Blad4!AB16="L. Norris",14,0)+IF(Blad4!AD16="C. Sainz",15,0)+IF(Blad4!AD16="L. Norris",15,0)+IF(Blad4!AF16="C. Sainz",16,0)+IF(Blad4!AF16="L. Norris",16,0)+IF(Blad4!AH16="C. Sainz",17,0)+IF(Blad4!AH16="L. Norris",17,0)+IF(Blad4!AJ16="C. Sainz",18,0)+IF(Blad4!AJ16="L. Norris",18,0)+IF(Blad4!AL16="C. Sainz",19,0)+IF(Blad4!AL16="L. Norris",19,0)+IF(Blad4!AN16="C. Sainz",20,0)+IF(Blad4!AN16="L. Norris",20,0))/2</f>
        <v>0</v>
      </c>
      <c r="AQ30" s="680">
        <f>(IF(Blad4!B17="C. Sainz",1,0)+IF(Blad4!B17="L. Norris",1,0)+IF(Blad4!D17="C. Sainz",2,0)+IF(Blad4!D17="L. Norris",2,0)+IF(Blad4!F17="C. Sainz",3,0)+IF(Blad4!F17="L. Norris",3,0)+IF(Blad4!H17="C. Sainz",4,0)+IF(Blad4!H17="L. Norris",4,0)+IF(Blad4!J17="C. Sainz",5,0)+IF(Blad4!J17="L. Norris",5,0)+IF(Blad4!L17="C. Sainz",6,0)+IF(Blad4!L17="L. Norris",6,0)+IF(Blad4!N17="C. Sainz",7,0)+IF(Blad4!N17="L. Norris",7,0)+IF(Blad4!P17="C. Sainz",8,0)+IF(Blad4!P17="L. Norris",8,0)+IF(Blad4!R17="C. Sainz",9,0)+IF(Blad4!R17="L. Norris",9,0)+IF(Blad4!T17="C. Sainz",10,0)+IF(Blad4!T17="L. Norris",10,0)+IF(Blad4!V17="C. Sainz",11,0)+IF(Blad4!V17="L. Norris",11,0)+IF(Blad4!X17="C. Sainz",12,0)+IF(Blad4!X17="L. Norris",12,0)+IF(Blad4!Z17="C. Sainz",13,0)+IF(Blad4!Z17="L. Norris",13,0)+IF(Blad4!AB17="C. Sainz",14,0)+IF(Blad4!AB17="L. Norris",14,0)+IF(Blad4!AD17="C. Sainz",15,0)+IF(Blad4!AD17="L. Norris",15,0)+IF(Blad4!AF17="C. Sainz",16,0)+IF(Blad4!AF17="L. Norris",16,0)+IF(Blad4!AH17="C. Sainz",17,0)+IF(Blad4!AH17="L. Norris",17,0)+IF(Blad4!AJ17="C. Sainz",18,0)+IF(Blad4!AJ17="L. Norris",18,0)+IF(Blad4!AL17="C. Sainz",19,0)+IF(Blad4!AL17="L. Norris",19,0)+IF(Blad4!AN17="C. Sainz",20,0)+IF(Blad4!AN17="L. Norris",20,0))/2</f>
        <v>0</v>
      </c>
      <c r="AR30" s="680">
        <f>(IF(Blad4!B18="C. Sainz",1,0)+IF(Blad4!B18="L. Norris",1,0)+IF(Blad4!D18="C. Sainz",2,0)+IF(Blad4!D18="L. Norris",2,0)+IF(Blad4!F18="C. Sainz",3,0)+IF(Blad4!F18="L. Norris",3,0)+IF(Blad4!H18="C. Sainz",4,0)+IF(Blad4!H18="L. Norris",4,0)+IF(Blad4!J18="C. Sainz",5,0)+IF(Blad4!J18="L. Norris",5,0)+IF(Blad4!L18="C. Sainz",6,0)+IF(Blad4!L18="L. Norris",6,0)+IF(Blad4!N18="C. Sainz",7,0)+IF(Blad4!N18="L. Norris",7,0)+IF(Blad4!P18="C. Sainz",8,0)+IF(Blad4!P18="L. Norris",8,0)+IF(Blad4!R18="C. Sainz",9,0)+IF(Blad4!R18="L. Norris",9,0)+IF(Blad4!T18="C. Sainz",10,0)+IF(Blad4!T18="L. Norris",10,0)+IF(Blad4!V18="C. Sainz",11,0)+IF(Blad4!V18="L. Norris",11,0)+IF(Blad4!X18="C. Sainz",12,0)+IF(Blad4!X18="L. Norris",12,0)+IF(Blad4!Z18="C. Sainz",13,0)+IF(Blad4!Z18="L. Norris",13,0)+IF(Blad4!AB18="C. Sainz",14,0)+IF(Blad4!AB18="L. Norris",14,0)+IF(Blad4!AD18="C. Sainz",15,0)+IF(Blad4!AD18="L. Norris",15,0)+IF(Blad4!AF18="C. Sainz",16,0)+IF(Blad4!AF18="L. Norris",16,0)+IF(Blad4!AH18="C. Sainz",17,0)+IF(Blad4!AH18="L. Norris",17,0)+IF(Blad4!AJ18="C. Sainz",18,0)+IF(Blad4!AJ18="L. Norris",18,0)+IF(Blad4!AL18="C. Sainz",19,0)+IF(Blad4!AL18="L. Norris",19,0)+IF(Blad4!AN18="C. Sainz",20,0)+IF(Blad4!AN18="L. Norris",20,0))/2</f>
        <v>0</v>
      </c>
      <c r="AS30" s="680">
        <f>(IF(Blad4!B19="C. Sainz",1,0)+IF(Blad4!B19="L. Norris",1,0)+IF(Blad4!D19="C. Sainz",2,0)+IF(Blad4!D19="L. Norris",2,0)+IF(Blad4!F19="C. Sainz",3,0)+IF(Blad4!F19="L. Norris",3,0)+IF(Blad4!H19="C. Sainz",4,0)+IF(Blad4!H19="L. Norris",4,0)+IF(Blad4!J19="C. Sainz",5,0)+IF(Blad4!J19="L. Norris",5,0)+IF(Blad4!L19="C. Sainz",6,0)+IF(Blad4!L19="L. Norris",6,0)+IF(Blad4!N19="C. Sainz",7,0)+IF(Blad4!N19="L. Norris",7,0)+IF(Blad4!P19="C. Sainz",8,0)+IF(Blad4!P19="L. Norris",8,0)+IF(Blad4!R19="C. Sainz",9,0)+IF(Blad4!R19="L. Norris",9,0)+IF(Blad4!T19="C. Sainz",10,0)+IF(Blad4!T19="L. Norris",10,0)+IF(Blad4!V19="C. Sainz",11,0)+IF(Blad4!V19="L. Norris",11,0)+IF(Blad4!X19="C. Sainz",12,0)+IF(Blad4!X19="L. Norris",12,0)+IF(Blad4!Z19="C. Sainz",13,0)+IF(Blad4!Z19="L. Norris",13,0)+IF(Blad4!AB19="C. Sainz",14,0)+IF(Blad4!AB19="L. Norris",14,0)+IF(Blad4!AD19="C. Sainz",15,0)+IF(Blad4!AD19="L. Norris",15,0)+IF(Blad4!AF19="C. Sainz",16,0)+IF(Blad4!AF19="L. Norris",16,0)+IF(Blad4!AH19="C. Sainz",17,0)+IF(Blad4!AH19="L. Norris",17,0)+IF(Blad4!AJ19="C. Sainz",18,0)+IF(Blad4!AJ19="L. Norris",18,0)+IF(Blad4!AL19="C. Sainz",19,0)+IF(Blad4!AL19="L. Norris",19,0)+IF(Blad4!AN19="C. Sainz",20,0)+IF(Blad4!AN19="L. Norris",20,0))/2</f>
        <v>0</v>
      </c>
      <c r="AT30" s="680">
        <f>(IF(Blad4!B20="C. Sainz",1,0)+IF(Blad4!B20="L. Norris",1,0)+IF(Blad4!D20="C. Sainz",2,0)+IF(Blad4!D20="L. Norris",2,0)+IF(Blad4!F20="C. Sainz",3,0)+IF(Blad4!F20="L. Norris",3,0)+IF(Blad4!H20="C. Sainz",4,0)+IF(Blad4!H20="L. Norris",4,0)+IF(Blad4!J20="C. Sainz",5,0)+IF(Blad4!J20="L. Norris",5,0)+IF(Blad4!L20="C. Sainz",6,0)+IF(Blad4!L20="L. Norris",6,0)+IF(Blad4!N20="C. Sainz",7,0)+IF(Blad4!N20="L. Norris",7,0)+IF(Blad4!P20="C. Sainz",8,0)+IF(Blad4!P20="L. Norris",8,0)+IF(Blad4!R20="C. Sainz",9,0)+IF(Blad4!R20="L. Norris",9,0)+IF(Blad4!T20="C. Sainz",10,0)+IF(Blad4!T20="L. Norris",10,0)+IF(Blad4!V20="C. Sainz",11,0)+IF(Blad4!V20="L. Norris",11,0)+IF(Blad4!X20="C. Sainz",12,0)+IF(Blad4!X20="L. Norris",12,0)+IF(Blad4!Z20="C. Sainz",13,0)+IF(Blad4!Z20="L. Norris",13,0)+IF(Blad4!AB20="C. Sainz",14,0)+IF(Blad4!AB20="L. Norris",14,0)+IF(Blad4!AD20="C. Sainz",15,0)+IF(Blad4!AD20="L. Norris",15,0)+IF(Blad4!AF20="C. Sainz",16,0)+IF(Blad4!AF20="L. Norris",16,0)+IF(Blad4!AH20="C. Sainz",17,0)+IF(Blad4!AH20="L. Norris",17,0)+IF(Blad4!AJ20="C. Sainz",18,0)+IF(Blad4!AJ20="L. Norris",18,0)+IF(Blad4!AL20="C. Sainz",19,0)+IF(Blad4!AL20="L. Norris",19,0)+IF(Blad4!AN20="C. Sainz",20,0)+IF(Blad4!AN20="L. Norris",20,0))/2</f>
        <v>0</v>
      </c>
      <c r="AU30" s="680">
        <f>(IF(Blad4!B21="C. Sainz",1,0)+IF(Blad4!B21="L. Norris",1,0)+IF(Blad4!D21="C. Sainz",2,0)+IF(Blad4!D21="L. Norris",2,0)+IF(Blad4!F21="C. Sainz",3,0)+IF(Blad4!F21="L. Norris",3,0)+IF(Blad4!H21="C. Sainz",4,0)+IF(Blad4!H21="L. Norris",4,0)+IF(Blad4!J21="C. Sainz",5,0)+IF(Blad4!J21="L. Norris",5,0)+IF(Blad4!L21="C. Sainz",6,0)+IF(Blad4!L21="L. Norris",6,0)+IF(Blad4!N21="C. Sainz",7,0)+IF(Blad4!N21="L. Norris",7,0)+IF(Blad4!P21="C. Sainz",8,0)+IF(Blad4!P21="L. Norris",8,0)+IF(Blad4!R21="C. Sainz",9,0)+IF(Blad4!R21="L. Norris",9,0)+IF(Blad4!T21="C. Sainz",10,0)+IF(Blad4!T21="L. Norris",10,0)+IF(Blad4!V21="C. Sainz",11,0)+IF(Blad4!V21="L. Norris",11,0)+IF(Blad4!X21="C. Sainz",12,0)+IF(Blad4!X21="L. Norris",12,0)+IF(Blad4!Z21="C. Sainz",13,0)+IF(Blad4!Z21="L. Norris",13,0)+IF(Blad4!AB21="C. Sainz",14,0)+IF(Blad4!AB21="L. Norris",14,0)+IF(Blad4!AD21="C. Sainz",15,0)+IF(Blad4!AD21="L. Norris",15,0)+IF(Blad4!AF21="C. Sainz",16,0)+IF(Blad4!AF21="L. Norris",16,0)+IF(Blad4!AH21="C. Sainz",17,0)+IF(Blad4!AH21="L. Norris",17,0)+IF(Blad4!AJ21="C. Sainz",18,0)+IF(Blad4!AJ21="L. Norris",18,0)+IF(Blad4!AL21="C. Sainz",19,0)+IF(Blad4!AL21="L. Norris",19,0)+IF(Blad4!AN21="C. Sainz",20,0)+IF(Blad4!AN21="L. Norris",20,0))/2</f>
        <v>0</v>
      </c>
      <c r="AV30" s="681">
        <f>(IF(Blad4!B22="C. Sainz",1,0)+IF(Blad4!B22="L. Norris",1,0)+IF(Blad4!D22="C. Sainz",2,0)+IF(Blad4!D22="L. Norris",2,0)+IF(Blad4!F22="C. Sainz",3,0)+IF(Blad4!F22="L. Norris",3,0)+IF(Blad4!H22="C. Sainz",4,0)+IF(Blad4!H22="L. Norris",4,0)+IF(Blad4!J22="C. Sainz",5,0)+IF(Blad4!J22="L. Norris",5,0)+IF(Blad4!L22="C. Sainz",6,0)+IF(Blad4!L22="L. Norris",6,0)+IF(Blad4!N22="C. Sainz",7,0)+IF(Blad4!N22="L. Norris",7,0)+IF(Blad4!P22="C. Sainz",8,0)+IF(Blad4!P22="L. Norris",8,0)+IF(Blad4!R22="C. Sainz",9,0)+IF(Blad4!R22="L. Norris",9,0)+IF(Blad4!T22="C. Sainz",10,0)+IF(Blad4!T22="L. Norris",10,0)+IF(Blad4!V22="C. Sainz",11,0)+IF(Blad4!V22="L. Norris",11,0)+IF(Blad4!X22="C. Sainz",12,0)+IF(Blad4!X22="L. Norris",12,0)+IF(Blad4!Z22="C. Sainz",13,0)+IF(Blad4!Z22="L. Norris",13,0)+IF(Blad4!AB22="C. Sainz",14,0)+IF(Blad4!AB22="L. Norris",14,0)+IF(Blad4!AD22="C. Sainz",15,0)+IF(Blad4!AD22="L. Norris",15,0)+IF(Blad4!AF22="C. Sainz",16,0)+IF(Blad4!AF22="L. Norris",16,0)+IF(Blad4!AH22="C. Sainz",17,0)+IF(Blad4!AH22="L. Norris",17,0)+IF(Blad4!AJ22="C. Sainz",18,0)+IF(Blad4!AJ22="L. Norris",18,0)+IF(Blad4!AL22="C. Sainz",19,0)+IF(Blad4!AL22="L. Norris",19,0)+IF(Blad4!AN22="C. Sainz",20,0)+IF(Blad4!AN22="L. Norris",20,0))/2</f>
        <v>0</v>
      </c>
      <c r="AW30" s="674"/>
    </row>
    <row r="31" spans="27:49" x14ac:dyDescent="0.2">
      <c r="AA31" s="669" t="s">
        <v>544</v>
      </c>
      <c r="AB31" s="679"/>
      <c r="AC31" s="680"/>
      <c r="AD31" s="680"/>
      <c r="AE31" s="680"/>
      <c r="AF31" s="680"/>
      <c r="AG31" s="680"/>
      <c r="AH31" s="680"/>
      <c r="AI31" s="680"/>
      <c r="AJ31" s="680"/>
      <c r="AK31" s="680"/>
      <c r="AL31" s="680"/>
      <c r="AM31" s="680"/>
      <c r="AN31" s="680"/>
      <c r="AO31" s="680"/>
      <c r="AP31" s="680">
        <f>(IF(Blad4!B16="S. Pérez",1,0)+IF(Blad4!B16="L. Stroll",1,0)+IF(Blad4!D16="S. Pérez",2,0)+IF(Blad4!D16="L. Stroll",2,0)+IF(Blad4!F16="S. Pérez",3,0)+IF(Blad4!F16="L. Stroll",3,0)+IF(Blad4!H16="S. Pérez",4,0)+IF(Blad4!H16="L. Stroll",4,0)+IF(Blad4!J16="S. Pérez",5,0)+IF(Blad4!J16="L. Stroll",5,0)+IF(Blad4!L16="S. Pérez",6,0)+IF(Blad4!L16="L. Stroll",6,0)+IF(Blad4!N16="S. Pérez",7,0)+IF(Blad4!N16="L. Stroll",7,0)+IF(Blad4!P16="S. Pérez",8,0)+IF(Blad4!P16="L. Stroll",8,0)+IF(Blad4!R16="S. Pérez",9,0)+IF(Blad4!R16="L. Stroll",9,0)+IF(Blad4!T16="S. Pérez",10,0)+IF(Blad4!T16="L. Stroll",10,0)+IF(Blad4!V16="S. Pérez",11,0)+IF(Blad4!V16="L. Stroll",11,0)+IF(Blad4!X16="S. Pérez",12,0)+IF(Blad4!X16="L. Stroll",12,0)+IF(Blad4!Z16="S. Pérez",13,0)+IF(Blad4!Z16="L. Stroll",13,0)+IF(Blad4!AB16="S. Pérez",14,0)+IF(Blad4!AB16="L. Stroll",14,0)+IF(Blad4!AD16="S. Pérez",15,0)+IF(Blad4!AD16="L. Stroll",15,0)+IF(Blad4!AF16="S. Pérez",16,0)+IF(Blad4!AF16="L. Stroll",16,0)+IF(Blad4!AH16="S. Pérez",17,0)+IF(Blad4!AH16="L. Stroll",17,0)+IF(Blad4!AJ16="S. Pérez",18,0)+IF(Blad4!AJ16="L. Stroll",18,0)+IF(Blad4!AL16="S. Pérez",19,0)+IF(Blad4!AL16="L. Stroll",19,0)+IF(Blad4!AN16="S. Pérez",20,0)+IF(Blad4!AN16="L. Stroll",20,0))/2</f>
        <v>0</v>
      </c>
      <c r="AQ31" s="680">
        <f>(IF(Blad4!B17="S. Pérez",1,0)+IF(Blad4!B17="L. Stroll",1,0)+IF(Blad4!D17="S. Pérez",2,0)+IF(Blad4!D17="L. Stroll",2,0)+IF(Blad4!F17="S. Pérez",3,0)+IF(Blad4!F17="L. Stroll",3,0)+IF(Blad4!H17="S. Pérez",4,0)+IF(Blad4!H17="L. Stroll",4,0)+IF(Blad4!J17="S. Pérez",5,0)+IF(Blad4!J17="L. Stroll",5,0)+IF(Blad4!L17="S. Pérez",6,0)+IF(Blad4!L17="L. Stroll",6,0)+IF(Blad4!N17="S. Pérez",7,0)+IF(Blad4!N17="L. Stroll",7,0)+IF(Blad4!P17="S. Pérez",8,0)+IF(Blad4!P17="L. Stroll",8,0)+IF(Blad4!R17="S. Pérez",9,0)+IF(Blad4!R17="L. Stroll",9,0)+IF(Blad4!T17="S. Pérez",10,0)+IF(Blad4!T17="L. Stroll",10,0)+IF(Blad4!V17="S. Pérez",11,0)+IF(Blad4!V17="L. Stroll",11,0)+IF(Blad4!X17="S. Pérez",12,0)+IF(Blad4!X17="L. Stroll",12,0)+IF(Blad4!Z17="S. Pérez",13,0)+IF(Blad4!Z17="L. Stroll",13,0)+IF(Blad4!AB17="S. Pérez",14,0)+IF(Blad4!AB17="L. Stroll",14,0)+IF(Blad4!AD17="S. Pérez",15,0)+IF(Blad4!AD17="L. Stroll",15,0)+IF(Blad4!AF17="S. Pérez",16,0)+IF(Blad4!AF17="L. Stroll",16,0)+IF(Blad4!AH17="S. Pérez",17,0)+IF(Blad4!AH17="L. Stroll",17,0)+IF(Blad4!AJ17="S. Pérez",18,0)+IF(Blad4!AJ17="L. Stroll",18,0)+IF(Blad4!AL17="S. Pérez",19,0)+IF(Blad4!AL17="L. Stroll",19,0)+IF(Blad4!AN17="S. Pérez",20,0)+IF(Blad4!AN17="L. Stroll",20,0))/2</f>
        <v>0</v>
      </c>
      <c r="AR31" s="680">
        <f>(IF(Blad4!B18="S. Pérez",1,0)+IF(Blad4!B18="L. Stroll",1,0)+IF(Blad4!D18="S. Pérez",2,0)+IF(Blad4!D18="L. Stroll",2,0)+IF(Blad4!F18="S. Pérez",3,0)+IF(Blad4!F18="L. Stroll",3,0)+IF(Blad4!H18="S. Pérez",4,0)+IF(Blad4!H18="L. Stroll",4,0)+IF(Blad4!J18="S. Pérez",5,0)+IF(Blad4!J18="L. Stroll",5,0)+IF(Blad4!L18="S. Pérez",6,0)+IF(Blad4!L18="L. Stroll",6,0)+IF(Blad4!N18="S. Pérez",7,0)+IF(Blad4!N18="L. Stroll",7,0)+IF(Blad4!P18="S. Pérez",8,0)+IF(Blad4!P18="L. Stroll",8,0)+IF(Blad4!R18="S. Pérez",9,0)+IF(Blad4!R18="L. Stroll",9,0)+IF(Blad4!T18="S. Pérez",10,0)+IF(Blad4!T18="L. Stroll",10,0)+IF(Blad4!V18="S. Pérez",11,0)+IF(Blad4!V18="L. Stroll",11,0)+IF(Blad4!X18="S. Pérez",12,0)+IF(Blad4!X18="L. Stroll",12,0)+IF(Blad4!Z18="S. Pérez",13,0)+IF(Blad4!Z18="L. Stroll",13,0)+IF(Blad4!AB18="S. Pérez",14,0)+IF(Blad4!AB18="L. Stroll",14,0)+IF(Blad4!AD18="S. Pérez",15,0)+IF(Blad4!AD18="L. Stroll",15,0)+IF(Blad4!AF18="S. Pérez",16,0)+IF(Blad4!AF18="L. Stroll",16,0)+IF(Blad4!AH18="S. Pérez",17,0)+IF(Blad4!AH18="L. Stroll",17,0)+IF(Blad4!AJ18="S. Pérez",18,0)+IF(Blad4!AJ18="L. Stroll",18,0)+IF(Blad4!AL18="S. Pérez",19,0)+IF(Blad4!AL18="L. Stroll",19,0)+IF(Blad4!AN18="S. Pérez",20,0)+IF(Blad4!AN18="L. Stroll",20,0))/2</f>
        <v>0</v>
      </c>
      <c r="AS31" s="680">
        <f>(IF(Blad4!B19="S. Pérez",1,0)+IF(Blad4!B19="L. Stroll",1,0)+IF(Blad4!D19="S. Pérez",2,0)+IF(Blad4!D19="L. Stroll",2,0)+IF(Blad4!F19="S. Pérez",3,0)+IF(Blad4!F19="L. Stroll",3,0)+IF(Blad4!H19="S. Pérez",4,0)+IF(Blad4!H19="L. Stroll",4,0)+IF(Blad4!J19="S. Pérez",5,0)+IF(Blad4!J19="L. Stroll",5,0)+IF(Blad4!L19="S. Pérez",6,0)+IF(Blad4!L19="L. Stroll",6,0)+IF(Blad4!N19="S. Pérez",7,0)+IF(Blad4!N19="L. Stroll",7,0)+IF(Blad4!P19="S. Pérez",8,0)+IF(Blad4!P19="L. Stroll",8,0)+IF(Blad4!R19="S. Pérez",9,0)+IF(Blad4!R19="L. Stroll",9,0)+IF(Blad4!T19="S. Pérez",10,0)+IF(Blad4!T19="L. Stroll",10,0)+IF(Blad4!V19="S. Pérez",11,0)+IF(Blad4!V19="L. Stroll",11,0)+IF(Blad4!X19="S. Pérez",12,0)+IF(Blad4!X19="L. Stroll",12,0)+IF(Blad4!Z19="S. Pérez",13,0)+IF(Blad4!Z19="L. Stroll",13,0)+IF(Blad4!AB19="S. Pérez",14,0)+IF(Blad4!AB19="L. Stroll",14,0)+IF(Blad4!AD19="S. Pérez",15,0)+IF(Blad4!AD19="L. Stroll",15,0)+IF(Blad4!AF19="S. Pérez",16,0)+IF(Blad4!AF19="L. Stroll",16,0)+IF(Blad4!AH19="S. Pérez",17,0)+IF(Blad4!AH19="L. Stroll",17,0)+IF(Blad4!AJ19="S. Pérez",18,0)+IF(Blad4!AJ19="L. Stroll",18,0)+IF(Blad4!AL19="S. Pérez",19,0)+IF(Blad4!AL19="L. Stroll",19,0)+IF(Blad4!AN19="S. Pérez",20,0)+IF(Blad4!AN19="L. Stroll",20,0))/2</f>
        <v>0</v>
      </c>
      <c r="AT31" s="680">
        <f>(IF(Blad4!B20="S. Pérez",1,0)+IF(Blad4!B20="L. Stroll",1,0)+IF(Blad4!D20="S. Pérez",2,0)+IF(Blad4!D20="L. Stroll",2,0)+IF(Blad4!F20="S. Pérez",3,0)+IF(Blad4!F20="L. Stroll",3,0)+IF(Blad4!H20="S. Pérez",4,0)+IF(Blad4!H20="L. Stroll",4,0)+IF(Blad4!J20="S. Pérez",5,0)+IF(Blad4!J20="L. Stroll",5,0)+IF(Blad4!L20="S. Pérez",6,0)+IF(Blad4!L20="L. Stroll",6,0)+IF(Blad4!N20="S. Pérez",7,0)+IF(Blad4!N20="L. Stroll",7,0)+IF(Blad4!P20="S. Pérez",8,0)+IF(Blad4!P20="L. Stroll",8,0)+IF(Blad4!R20="S. Pérez",9,0)+IF(Blad4!R20="L. Stroll",9,0)+IF(Blad4!T20="S. Pérez",10,0)+IF(Blad4!T20="L. Stroll",10,0)+IF(Blad4!V20="S. Pérez",11,0)+IF(Blad4!V20="L. Stroll",11,0)+IF(Blad4!X20="S. Pérez",12,0)+IF(Blad4!X20="L. Stroll",12,0)+IF(Blad4!Z20="S. Pérez",13,0)+IF(Blad4!Z20="L. Stroll",13,0)+IF(Blad4!AB20="S. Pérez",14,0)+IF(Blad4!AB20="L. Stroll",14,0)+IF(Blad4!AD20="S. Pérez",15,0)+IF(Blad4!AD20="L. Stroll",15,0)+IF(Blad4!AF20="S. Pérez",16,0)+IF(Blad4!AF20="L. Stroll",16,0)+IF(Blad4!AH20="S. Pérez",17,0)+IF(Blad4!AH20="L. Stroll",17,0)+IF(Blad4!AJ20="S. Pérez",18,0)+IF(Blad4!AJ20="L. Stroll",18,0)+IF(Blad4!AL20="S. Pérez",19,0)+IF(Blad4!AL20="L. Stroll",19,0)+IF(Blad4!AN20="S. Pérez",20,0)+IF(Blad4!AN20="L. Stroll",20,0))/2</f>
        <v>0</v>
      </c>
      <c r="AU31" s="680">
        <f>(IF(Blad4!B21="S. Pérez",1,0)+IF(Blad4!B21="L. Stroll",1,0)+IF(Blad4!D21="S. Pérez",2,0)+IF(Blad4!D21="L. Stroll",2,0)+IF(Blad4!F21="S. Pérez",3,0)+IF(Blad4!F21="L. Stroll",3,0)+IF(Blad4!H21="S. Pérez",4,0)+IF(Blad4!H21="L. Stroll",4,0)+IF(Blad4!J21="S. Pérez",5,0)+IF(Blad4!J21="L. Stroll",5,0)+IF(Blad4!L21="S. Pérez",6,0)+IF(Blad4!L21="L. Stroll",6,0)+IF(Blad4!N21="S. Pérez",7,0)+IF(Blad4!N21="L. Stroll",7,0)+IF(Blad4!P21="S. Pérez",8,0)+IF(Blad4!P21="L. Stroll",8,0)+IF(Blad4!R21="S. Pérez",9,0)+IF(Blad4!R21="L. Stroll",9,0)+IF(Blad4!T21="S. Pérez",10,0)+IF(Blad4!T21="L. Stroll",10,0)+IF(Blad4!V21="S. Pérez",11,0)+IF(Blad4!V21="L. Stroll",11,0)+IF(Blad4!X21="S. Pérez",12,0)+IF(Blad4!X21="L. Stroll",12,0)+IF(Blad4!Z21="S. Pérez",13,0)+IF(Blad4!Z21="L. Stroll",13,0)+IF(Blad4!AB21="S. Pérez",14,0)+IF(Blad4!AB21="L. Stroll",14,0)+IF(Blad4!AD21="S. Pérez",15,0)+IF(Blad4!AD21="L. Stroll",15,0)+IF(Blad4!AF21="S. Pérez",16,0)+IF(Blad4!AF21="L. Stroll",16,0)+IF(Blad4!AH21="S. Pérez",17,0)+IF(Blad4!AH21="L. Stroll",17,0)+IF(Blad4!AJ21="S. Pérez",18,0)+IF(Blad4!AJ21="L. Stroll",18,0)+IF(Blad4!AL21="S. Pérez",19,0)+IF(Blad4!AL21="L. Stroll",19,0)+IF(Blad4!AN21="S. Pérez",20,0)+IF(Blad4!AN21="L. Stroll",20,0))/2</f>
        <v>0</v>
      </c>
      <c r="AV31" s="681">
        <f>(IF(Blad4!B22="S. Pérez",1,0)+IF(Blad4!B22="L. Stroll",1,0)+IF(Blad4!D22="S. Pérez",2,0)+IF(Blad4!D22="L. Stroll",2,0)+IF(Blad4!F22="S. Pérez",3,0)+IF(Blad4!F22="L. Stroll",3,0)+IF(Blad4!H22="S. Pérez",4,0)+IF(Blad4!H22="L. Stroll",4,0)+IF(Blad4!J22="S. Pérez",5,0)+IF(Blad4!J22="L. Stroll",5,0)+IF(Blad4!L22="S. Pérez",6,0)+IF(Blad4!L22="L. Stroll",6,0)+IF(Blad4!N22="S. Pérez",7,0)+IF(Blad4!N22="L. Stroll",7,0)+IF(Blad4!P22="S. Pérez",8,0)+IF(Blad4!P22="L. Stroll",8,0)+IF(Blad4!R22="S. Pérez",9,0)+IF(Blad4!R22="L. Stroll",9,0)+IF(Blad4!T22="S. Pérez",10,0)+IF(Blad4!T22="L. Stroll",10,0)+IF(Blad4!V22="S. Pérez",11,0)+IF(Blad4!V22="L. Stroll",11,0)+IF(Blad4!X22="S. Pérez",12,0)+IF(Blad4!X22="L. Stroll",12,0)+IF(Blad4!Z22="S. Pérez",13,0)+IF(Blad4!Z22="L. Stroll",13,0)+IF(Blad4!AB22="S. Pérez",14,0)+IF(Blad4!AB22="L. Stroll",14,0)+IF(Blad4!AD22="S. Pérez",15,0)+IF(Blad4!AD22="L. Stroll",15,0)+IF(Blad4!AF22="S. Pérez",16,0)+IF(Blad4!AF22="L. Stroll",16,0)+IF(Blad4!AH22="S. Pérez",17,0)+IF(Blad4!AH22="L. Stroll",17,0)+IF(Blad4!AJ22="S. Pérez",18,0)+IF(Blad4!AJ22="L. Stroll",18,0)+IF(Blad4!AL22="S. Pérez",19,0)+IF(Blad4!AL22="L. Stroll",19,0)+IF(Blad4!AN22="S. Pérez",20,0)+IF(Blad4!AN22="L. Stroll",20,0))/2</f>
        <v>0</v>
      </c>
      <c r="AW31" s="674"/>
    </row>
    <row r="32" spans="27:49" x14ac:dyDescent="0.2">
      <c r="AA32" s="669" t="s">
        <v>545</v>
      </c>
      <c r="AB32" s="679"/>
      <c r="AC32" s="680"/>
      <c r="AD32" s="680"/>
      <c r="AE32" s="680"/>
      <c r="AF32" s="680"/>
      <c r="AG32" s="680"/>
      <c r="AH32" s="680"/>
      <c r="AI32" s="680"/>
      <c r="AJ32" s="680"/>
      <c r="AK32" s="680"/>
      <c r="AL32" s="680"/>
      <c r="AM32" s="680"/>
      <c r="AN32" s="680"/>
      <c r="AO32" s="680"/>
      <c r="AP32" s="680">
        <f>(IF(Blad4!B16="K. Raïkkönen",1,0)+IF(Blad4!B16="A. Giovinazzi",1,0)+IF(Blad4!D16="K. Raïkkönen",2,0)+IF(Blad4!D16="A. Giovinazzi",2,0)+IF(Blad4!F16="K. Raïkkönen",3,0)+IF(Blad4!F16="A. Giovinazzi",3,0)+IF(Blad4!H16="K. Raïkkönen",4,0)+IF(Blad4!H16="A. Giovinazzi",4,0)+IF(Blad4!J16="K. Raïkkönen",5,0)+IF(Blad4!J16="A. Giovinazzi",5,0)+IF(Blad4!L16="K. Raïkkönen",6,0)+IF(Blad4!L16="A. Giovinazzi",6,0)+IF(Blad4!N16="K. Raïkkönen",7,0)+IF(Blad4!N16="A. Giovinazzi",7,0)+IF(Blad4!P16="K. Raïkkönen",8,0)+IF(Blad4!P16="A. Giovinazzi",8,0)+IF(Blad4!R16="K. Raïkkönen",9,0)+IF(Blad4!R16="A. Giovinazzi",9,0)+IF(Blad4!T16="K. Raïkkönen",10,0)+IF(Blad4!T16="A. Giovinazzi",10,0)+IF(Blad4!V16="K. Raïkkönen",11,0)+IF(Blad4!V16="A. Giovinazzi",11,0)+IF(Blad4!X16="K. Raïkkönen",12,0)+IF(Blad4!X16="A. Giovinazzi",12,0)+IF(Blad4!Z16="K. Raïkkönen",13,0)+IF(Blad4!Z16="A. Giovinazzi",13,0)+IF(Blad4!AB16="K. Raïkkönen",14,0)+IF(Blad4!AB16="A. Giovinazzi",14,0)+IF(Blad4!AD16="K. Raïkkönen",15,0)+IF(Blad4!AD16="A. Giovinazzi",15,0)+IF(Blad4!AF16="K. Raïkkönen",16,0)+IF(Blad4!AF16="A. Giovinazzi",16,0)+IF(Blad4!AH16="K. Raïkkönen",17,0)+IF(Blad4!AH16="A. Giovinazzi",17,0)+IF(Blad4!AJ16="K. Raïkkönen",18,0)+IF(Blad4!AJ16="A. Giovinazzi",18,0)+IF(Blad4!AL16="K. Raïkkönen",19,0)+IF(Blad4!AL16="A. Giovinazzi",19,0)+IF(Blad4!AN16="K. Raïkkönen",20,0)+IF(Blad4!AN16="A. Giovinazzi",20,0))/2</f>
        <v>0</v>
      </c>
      <c r="AQ32" s="680">
        <f>(IF(Blad4!B17="K. Raïkkönen",1,0)+IF(Blad4!B17="A. Giovinazzi",1,0)+IF(Blad4!D17="K. Raïkkönen",2,0)+IF(Blad4!D17="A. Giovinazzi",2,0)+IF(Blad4!F17="K. Raïkkönen",3,0)+IF(Blad4!F17="A. Giovinazzi",3,0)+IF(Blad4!H17="K. Raïkkönen",4,0)+IF(Blad4!H17="A. Giovinazzi",4,0)+IF(Blad4!J17="K. Raïkkönen",5,0)+IF(Blad4!J17="A. Giovinazzi",5,0)+IF(Blad4!L17="K. Raïkkönen",6,0)+IF(Blad4!L17="A. Giovinazzi",6,0)+IF(Blad4!N17="K. Raïkkönen",7,0)+IF(Blad4!N17="A. Giovinazzi",7,0)+IF(Blad4!P17="K. Raïkkönen",8,0)+IF(Blad4!P17="A. Giovinazzi",8,0)+IF(Blad4!R17="K. Raïkkönen",9,0)+IF(Blad4!R17="A. Giovinazzi",9,0)+IF(Blad4!T17="K. Raïkkönen",10,0)+IF(Blad4!T17="A. Giovinazzi",10,0)+IF(Blad4!V17="K. Raïkkönen",11,0)+IF(Blad4!V17="A. Giovinazzi",11,0)+IF(Blad4!X17="K. Raïkkönen",12,0)+IF(Blad4!X17="A. Giovinazzi",12,0)+IF(Blad4!Z17="K. Raïkkönen",13,0)+IF(Blad4!Z17="A. Giovinazzi",13,0)+IF(Blad4!AB17="K. Raïkkönen",14,0)+IF(Blad4!AB17="A. Giovinazzi",14,0)+IF(Blad4!AD17="K. Raïkkönen",15,0)+IF(Blad4!AD17="A. Giovinazzi",15,0)+IF(Blad4!AF17="K. Raïkkönen",16,0)+IF(Blad4!AF17="A. Giovinazzi",16,0)+IF(Blad4!AH17="K. Raïkkönen",17,0)+IF(Blad4!AH17="A. Giovinazzi",17,0)+IF(Blad4!AJ17="K. Raïkkönen",18,0)+IF(Blad4!AJ17="A. Giovinazzi",18,0)+IF(Blad4!AL17="K. Raïkkönen",19,0)+IF(Blad4!AL17="A. Giovinazzi",19,0)+IF(Blad4!AN17="K. Raïkkönen",20,0)+IF(Blad4!AN17="A. Giovinazzi",20,0))/2</f>
        <v>0</v>
      </c>
      <c r="AR32" s="680">
        <f>(IF(Blad4!B18="K. Raïkkönen",1,0)+IF(Blad4!B18="A. Giovinazzi",1,0)+IF(Blad4!D18="K. Raïkkönen",2,0)+IF(Blad4!D18="A. Giovinazzi",2,0)+IF(Blad4!F18="K. Raïkkönen",3,0)+IF(Blad4!F18="A. Giovinazzi",3,0)+IF(Blad4!H18="K. Raïkkönen",4,0)+IF(Blad4!H18="A. Giovinazzi",4,0)+IF(Blad4!J18="K. Raïkkönen",5,0)+IF(Blad4!J18="A. Giovinazzi",5,0)+IF(Blad4!L18="K. Raïkkönen",6,0)+IF(Blad4!L18="A. Giovinazzi",6,0)+IF(Blad4!N18="K. Raïkkönen",7,0)+IF(Blad4!N18="A. Giovinazzi",7,0)+IF(Blad4!P18="K. Raïkkönen",8,0)+IF(Blad4!P18="A. Giovinazzi",8,0)+IF(Blad4!R18="K. Raïkkönen",9,0)+IF(Blad4!R18="A. Giovinazzi",9,0)+IF(Blad4!T18="K. Raïkkönen",10,0)+IF(Blad4!T18="A. Giovinazzi",10,0)+IF(Blad4!V18="K. Raïkkönen",11,0)+IF(Blad4!V18="A. Giovinazzi",11,0)+IF(Blad4!X18="K. Raïkkönen",12,0)+IF(Blad4!X18="A. Giovinazzi",12,0)+IF(Blad4!Z18="K. Raïkkönen",13,0)+IF(Blad4!Z18="A. Giovinazzi",13,0)+IF(Blad4!AB18="K. Raïkkönen",14,0)+IF(Blad4!AB18="A. Giovinazzi",14,0)+IF(Blad4!AD18="K. Raïkkönen",15,0)+IF(Blad4!AD18="A. Giovinazzi",15,0)+IF(Blad4!AF18="K. Raïkkönen",16,0)+IF(Blad4!AF18="A. Giovinazzi",16,0)+IF(Blad4!AH18="K. Raïkkönen",17,0)+IF(Blad4!AH18="A. Giovinazzi",17,0)+IF(Blad4!AJ18="K. Raïkkönen",18,0)+IF(Blad4!AJ18="A. Giovinazzi",18,0)+IF(Blad4!AL18="K. Raïkkönen",19,0)+IF(Blad4!AL18="A. Giovinazzi",19,0)+IF(Blad4!AN18="K. Raïkkönen",20,0)+IF(Blad4!AN18="A. Giovinazzi",20,0))/2</f>
        <v>0</v>
      </c>
      <c r="AS32" s="680">
        <f>(IF(Blad4!B19="K. Raïkkönen",1,0)+IF(Blad4!B19="A. Giovinazzi",1,0)+IF(Blad4!D19="K. Raïkkönen",2,0)+IF(Blad4!D19="A. Giovinazzi",2,0)+IF(Blad4!F19="K. Raïkkönen",3,0)+IF(Blad4!F19="A. Giovinazzi",3,0)+IF(Blad4!H19="K. Raïkkönen",4,0)+IF(Blad4!H19="A. Giovinazzi",4,0)+IF(Blad4!J19="K. Raïkkönen",5,0)+IF(Blad4!J19="A. Giovinazzi",5,0)+IF(Blad4!L19="K. Raïkkönen",6,0)+IF(Blad4!L19="A. Giovinazzi",6,0)+IF(Blad4!N19="K. Raïkkönen",7,0)+IF(Blad4!N19="A. Giovinazzi",7,0)+IF(Blad4!P19="K. Raïkkönen",8,0)+IF(Blad4!P19="A. Giovinazzi",8,0)+IF(Blad4!R19="K. Raïkkönen",9,0)+IF(Blad4!R19="A. Giovinazzi",9,0)+IF(Blad4!T19="K. Raïkkönen",10,0)+IF(Blad4!T19="A. Giovinazzi",10,0)+IF(Blad4!V19="K. Raïkkönen",11,0)+IF(Blad4!V19="A. Giovinazzi",11,0)+IF(Blad4!X19="K. Raïkkönen",12,0)+IF(Blad4!X19="A. Giovinazzi",12,0)+IF(Blad4!Z19="K. Raïkkönen",13,0)+IF(Blad4!Z19="A. Giovinazzi",13,0)+IF(Blad4!AB19="K. Raïkkönen",14,0)+IF(Blad4!AB19="A. Giovinazzi",14,0)+IF(Blad4!AD19="K. Raïkkönen",15,0)+IF(Blad4!AD19="A. Giovinazzi",15,0)+IF(Blad4!AF19="K. Raïkkönen",16,0)+IF(Blad4!AF19="A. Giovinazzi",16,0)+IF(Blad4!AH19="K. Raïkkönen",17,0)+IF(Blad4!AH19="A. Giovinazzi",17,0)+IF(Blad4!AJ19="K. Raïkkönen",18,0)+IF(Blad4!AJ19="A. Giovinazzi",18,0)+IF(Blad4!AL19="K. Raïkkönen",19,0)+IF(Blad4!AL19="A. Giovinazzi",19,0)+IF(Blad4!AN19="K. Raïkkönen",20,0)+IF(Blad4!AN19="A. Giovinazzi",20,0))/2</f>
        <v>0</v>
      </c>
      <c r="AT32" s="680">
        <f>(IF(Blad4!B20="K. Raïkkönen",1,0)+IF(Blad4!B20="A. Giovinazzi",1,0)+IF(Blad4!D20="K. Raïkkönen",2,0)+IF(Blad4!D20="A. Giovinazzi",2,0)+IF(Blad4!F20="K. Raïkkönen",3,0)+IF(Blad4!F20="A. Giovinazzi",3,0)+IF(Blad4!H20="K. Raïkkönen",4,0)+IF(Blad4!H20="A. Giovinazzi",4,0)+IF(Blad4!J20="K. Raïkkönen",5,0)+IF(Blad4!J20="A. Giovinazzi",5,0)+IF(Blad4!L20="K. Raïkkönen",6,0)+IF(Blad4!L20="A. Giovinazzi",6,0)+IF(Blad4!N20="K. Raïkkönen",7,0)+IF(Blad4!N20="A. Giovinazzi",7,0)+IF(Blad4!P20="K. Raïkkönen",8,0)+IF(Blad4!P20="A. Giovinazzi",8,0)+IF(Blad4!R20="K. Raïkkönen",9,0)+IF(Blad4!R20="A. Giovinazzi",9,0)+IF(Blad4!T20="K. Raïkkönen",10,0)+IF(Blad4!T20="A. Giovinazzi",10,0)+IF(Blad4!V20="K. Raïkkönen",11,0)+IF(Blad4!V20="A. Giovinazzi",11,0)+IF(Blad4!X20="K. Raïkkönen",12,0)+IF(Blad4!X20="A. Giovinazzi",12,0)+IF(Blad4!Z20="K. Raïkkönen",13,0)+IF(Blad4!Z20="A. Giovinazzi",13,0)+IF(Blad4!AB20="K. Raïkkönen",14,0)+IF(Blad4!AB20="A. Giovinazzi",14,0)+IF(Blad4!AD20="K. Raïkkönen",15,0)+IF(Blad4!AD20="A. Giovinazzi",15,0)+IF(Blad4!AF20="K. Raïkkönen",16,0)+IF(Blad4!AF20="A. Giovinazzi",16,0)+IF(Blad4!AH20="K. Raïkkönen",17,0)+IF(Blad4!AH20="A. Giovinazzi",17,0)+IF(Blad4!AJ20="K. Raïkkönen",18,0)+IF(Blad4!AJ20="A. Giovinazzi",18,0)+IF(Blad4!AL20="K. Raïkkönen",19,0)+IF(Blad4!AL20="A. Giovinazzi",19,0)+IF(Blad4!AN20="K. Raïkkönen",20,0)+IF(Blad4!AN20="A. Giovinazzi",20,0))/2</f>
        <v>0</v>
      </c>
      <c r="AU32" s="680">
        <f>(IF(Blad4!B21="K. Raïkkönen",1,0)+IF(Blad4!B21="A. Giovinazzi",1,0)+IF(Blad4!D21="K. Raïkkönen",2,0)+IF(Blad4!D21="A. Giovinazzi",2,0)+IF(Blad4!F21="K. Raïkkönen",3,0)+IF(Blad4!F21="A. Giovinazzi",3,0)+IF(Blad4!H21="K. Raïkkönen",4,0)+IF(Blad4!H21="A. Giovinazzi",4,0)+IF(Blad4!J21="K. Raïkkönen",5,0)+IF(Blad4!J21="A. Giovinazzi",5,0)+IF(Blad4!L21="K. Raïkkönen",6,0)+IF(Blad4!L21="A. Giovinazzi",6,0)+IF(Blad4!N21="K. Raïkkönen",7,0)+IF(Blad4!N21="A. Giovinazzi",7,0)+IF(Blad4!P21="K. Raïkkönen",8,0)+IF(Blad4!P21="A. Giovinazzi",8,0)+IF(Blad4!R21="K. Raïkkönen",9,0)+IF(Blad4!R21="A. Giovinazzi",9,0)+IF(Blad4!T21="K. Raïkkönen",10,0)+IF(Blad4!T21="A. Giovinazzi",10,0)+IF(Blad4!V21="K. Raïkkönen",11,0)+IF(Blad4!V21="A. Giovinazzi",11,0)+IF(Blad4!X21="K. Raïkkönen",12,0)+IF(Blad4!X21="A. Giovinazzi",12,0)+IF(Blad4!Z21="K. Raïkkönen",13,0)+IF(Blad4!Z21="A. Giovinazzi",13,0)+IF(Blad4!AB21="K. Raïkkönen",14,0)+IF(Blad4!AB21="A. Giovinazzi",14,0)+IF(Blad4!AD21="K. Raïkkönen",15,0)+IF(Blad4!AD21="A. Giovinazzi",15,0)+IF(Blad4!AF21="K. Raïkkönen",16,0)+IF(Blad4!AF21="A. Giovinazzi",16,0)+IF(Blad4!AH21="K. Raïkkönen",17,0)+IF(Blad4!AH21="A. Giovinazzi",17,0)+IF(Blad4!AJ21="K. Raïkkönen",18,0)+IF(Blad4!AJ21="A. Giovinazzi",18,0)+IF(Blad4!AL21="K. Raïkkönen",19,0)+IF(Blad4!AL21="A. Giovinazzi",19,0)+IF(Blad4!AN21="K. Raïkkönen",20,0)+IF(Blad4!AN21="A. Giovinazzi",20,0))/2</f>
        <v>0</v>
      </c>
      <c r="AV32" s="681">
        <f>(IF(Blad4!B22="K. Raïkkönen",1,0)+IF(Blad4!B22="A. Giovinazzi",1,0)+IF(Blad4!D22="K. Raïkkönen",2,0)+IF(Blad4!D22="A. Giovinazzi",2,0)+IF(Blad4!F22="K. Raïkkönen",3,0)+IF(Blad4!F22="A. Giovinazzi",3,0)+IF(Blad4!H22="K. Raïkkönen",4,0)+IF(Blad4!H22="A. Giovinazzi",4,0)+IF(Blad4!J22="K. Raïkkönen",5,0)+IF(Blad4!J22="A. Giovinazzi",5,0)+IF(Blad4!L22="K. Raïkkönen",6,0)+IF(Blad4!L22="A. Giovinazzi",6,0)+IF(Blad4!N22="K. Raïkkönen",7,0)+IF(Blad4!N22="A. Giovinazzi",7,0)+IF(Blad4!P22="K. Raïkkönen",8,0)+IF(Blad4!P22="A. Giovinazzi",8,0)+IF(Blad4!R22="K. Raïkkönen",9,0)+IF(Blad4!R22="A. Giovinazzi",9,0)+IF(Blad4!T22="K. Raïkkönen",10,0)+IF(Blad4!T22="A. Giovinazzi",10,0)+IF(Blad4!V22="K. Raïkkönen",11,0)+IF(Blad4!V22="A. Giovinazzi",11,0)+IF(Blad4!X22="K. Raïkkönen",12,0)+IF(Blad4!X22="A. Giovinazzi",12,0)+IF(Blad4!Z22="K. Raïkkönen",13,0)+IF(Blad4!Z22="A. Giovinazzi",13,0)+IF(Blad4!AB22="K. Raïkkönen",14,0)+IF(Blad4!AB22="A. Giovinazzi",14,0)+IF(Blad4!AD22="K. Raïkkönen",15,0)+IF(Blad4!AD22="A. Giovinazzi",15,0)+IF(Blad4!AF22="K. Raïkkönen",16,0)+IF(Blad4!AF22="A. Giovinazzi",16,0)+IF(Blad4!AH22="K. Raïkkönen",17,0)+IF(Blad4!AH22="A. Giovinazzi",17,0)+IF(Blad4!AJ22="K. Raïkkönen",18,0)+IF(Blad4!AJ22="A. Giovinazzi",18,0)+IF(Blad4!AL22="K. Raïkkönen",19,0)+IF(Blad4!AL22="A. Giovinazzi",19,0)+IF(Blad4!AN22="K. Raïkkönen",20,0)+IF(Blad4!AN22="A. Giovinazzi",20,0))/2</f>
        <v>0</v>
      </c>
      <c r="AW32" s="674"/>
    </row>
    <row r="33" spans="27:49" x14ac:dyDescent="0.2">
      <c r="AA33" s="669" t="s">
        <v>356</v>
      </c>
      <c r="AB33" s="679"/>
      <c r="AC33" s="680"/>
      <c r="AD33" s="680"/>
      <c r="AE33" s="680"/>
      <c r="AF33" s="680"/>
      <c r="AG33" s="680"/>
      <c r="AH33" s="680"/>
      <c r="AI33" s="680"/>
      <c r="AJ33" s="680"/>
      <c r="AK33" s="680"/>
      <c r="AL33" s="680"/>
      <c r="AM33" s="680"/>
      <c r="AN33" s="680"/>
      <c r="AO33" s="680"/>
      <c r="AP33" s="709">
        <f>(IF(Blad4!B16="D. Kvyat",1,0)+IF(Blad4!B16="P. Gasly¹",1,0)+IF(Blad4!D16="D. Kvyat",2,0)+IF(Blad4!D16="P. Gasly¹",2,0)+IF(Blad4!F16="D. Kvyat",3,0)+IF(Blad4!F16="P. Gasly¹",3,0)+IF(Blad4!H16="D. Kvyat",4,0)+IF(Blad4!H16="P. Gasly¹",4,0)+IF(Blad4!J16="D. Kvyat",5,0)+IF(Blad4!J16="P. Gasly¹",5,0)+IF(Blad4!L16="D. Kvyat",6,0)+IF(Blad4!L16="P. Gasly¹",6,0)+IF(Blad4!N16="D. Kvyat",7,0)+IF(Blad4!N16="P. Gasly¹",7,0)+IF(Blad4!P16="D. Kvyat",8,0)+IF(Blad4!P16="P. Gasly¹",8,0)+IF(Blad4!R16="D. Kvyat",9,0)+IF(Blad4!R16="P. Gasly¹",9,0)+IF(Blad4!T16="D. Kvyat",10,0)+IF(Blad4!T16="P. Gasly¹",10,0)+IF(Blad4!V16="D. Kvyat",11,0)+IF(Blad4!V16="P. Gasly¹",11,0)+IF(Blad4!X16="D. Kvyat",12,0)+IF(Blad4!X16="P. Gasly¹",12,0)+IF(Blad4!Z16="D. Kvyat",13,0)+IF(Blad4!Z16="P. Gasly¹",13,0)+IF(Blad4!AB16="D. Kvyat",14,0)+IF(Blad4!AB16="P. Gasly¹",14,0)+IF(Blad4!AD16="D. Kvyat",15,0)+IF(Blad4!AD16="P. Gasly¹",15,0)+IF(Blad4!AF16="D. Kvyat",16,0)+IF(Blad4!AF16="P. Gasly¹",16,0)+IF(Blad4!AH16="D. Kvyat",17,0)+IF(Blad4!AH16="P. Gasly¹",17,0)+IF(Blad4!AJ16="D. Kvyat",18,0)+IF(Blad4!AJ16="P. Gasly¹",18,0)+IF(Blad4!AL16="D. Kvyat",19,0)+IF(Blad4!AL16="P. Gasly¹",19,0)+IF(Blad4!AN16="D. Kvyat",20,0)+IF(Blad4!AN16="P. Gasly¹",20,0))/2</f>
        <v>0</v>
      </c>
      <c r="AQ33" s="709">
        <f>(IF(Blad4!B17="D. Kvyat",1,0)+IF(Blad4!B17="P. Gasly¹",1,0)+IF(Blad4!D17="D. Kvyat",2,0)+IF(Blad4!D17="P. Gasly¹",2,0)+IF(Blad4!F17="D. Kvyat",3,0)+IF(Blad4!F17="P. Gasly¹",3,0)+IF(Blad4!H17="D. Kvyat",4,0)+IF(Blad4!H17="P. Gasly¹",4,0)+IF(Blad4!J17="D. Kvyat",5,0)+IF(Blad4!J17="P. Gasly¹",5,0)+IF(Blad4!L17="D. Kvyat",6,0)+IF(Blad4!L17="P. Gasly¹",6,0)+IF(Blad4!N17="D. Kvyat",7,0)+IF(Blad4!N17="P. Gasly¹",7,0)+IF(Blad4!P17="D. Kvyat",8,0)+IF(Blad4!P17="P. Gasly¹",8,0)+IF(Blad4!R17="D. Kvyat",9,0)+IF(Blad4!R17="P. Gasly¹",9,0)+IF(Blad4!T17="D. Kvyat",10,0)+IF(Blad4!T17="P. Gasly¹",10,0)+IF(Blad4!V17="D. Kvyat",11,0)+IF(Blad4!V17="P. Gasly¹",11,0)+IF(Blad4!X17="D. Kvyat",12,0)+IF(Blad4!X17="P. Gasly¹",12,0)+IF(Blad4!Z17="D. Kvyat",13,0)+IF(Blad4!Z17="P. Gasly¹",13,0)+IF(Blad4!AB17="D. Kvyat",14,0)+IF(Blad4!AB17="P. Gasly¹",14,0)+IF(Blad4!AD17="D. Kvyat",15,0)+IF(Blad4!AD17="P. Gasly¹",15,0)+IF(Blad4!AF17="D. Kvyat",16,0)+IF(Blad4!AF17="P. Gasly¹",16,0)+IF(Blad4!AH17="D. Kvyat",17,0)+IF(Blad4!AH17="P. Gasly¹",17,0)+IF(Blad4!AJ17="D. Kvyat",18,0)+IF(Blad4!AJ17="P. Gasly¹",18,0)+IF(Blad4!AL17="D. Kvyat",19,0)+IF(Blad4!AL17="P. Gasly¹",19,0)+IF(Blad4!AN17="D. Kvyat",20,0)+IF(Blad4!AN17="P. Gasly¹",20,0))/2</f>
        <v>0</v>
      </c>
      <c r="AR33" s="709">
        <f>(IF(Blad4!B18="D. Kvyat",1,0)+IF(Blad4!B18="P. Gasly¹",1,0)+IF(Blad4!D18="D. Kvyat",2,0)+IF(Blad4!D18="P. Gasly¹",2,0)+IF(Blad4!F18="D. Kvyat",3,0)+IF(Blad4!F18="P. Gasly¹",3,0)+IF(Blad4!H18="D. Kvyat",4,0)+IF(Blad4!H18="P. Gasly¹",4,0)+IF(Blad4!J18="D. Kvyat",5,0)+IF(Blad4!J18="P. Gasly¹",5,0)+IF(Blad4!L18="D. Kvyat",6,0)+IF(Blad4!L18="P. Gasly¹",6,0)+IF(Blad4!N18="D. Kvyat",7,0)+IF(Blad4!N18="P. Gasly¹",7,0)+IF(Blad4!P18="D. Kvyat",8,0)+IF(Blad4!P18="P. Gasly¹",8,0)+IF(Blad4!R18="D. Kvyat",9,0)+IF(Blad4!R18="P. Gasly¹",9,0)+IF(Blad4!T18="D. Kvyat",10,0)+IF(Blad4!T18="P. Gasly¹",10,0)+IF(Blad4!V18="D. Kvyat",11,0)+IF(Blad4!V18="P. Gasly¹",11,0)+IF(Blad4!X18="D. Kvyat",12,0)+IF(Blad4!X18="P. Gasly¹",12,0)+IF(Blad4!Z18="D. Kvyat",13,0)+IF(Blad4!Z18="P. Gasly¹",13,0)+IF(Blad4!AB18="D. Kvyat",14,0)+IF(Blad4!AB18="P. Gasly¹",14,0)+IF(Blad4!AD18="D. Kvyat",15,0)+IF(Blad4!AD18="P. Gasly¹",15,0)+IF(Blad4!AF18="D. Kvyat",16,0)+IF(Blad4!AF18="P. Gasly¹",16,0)+IF(Blad4!AH18="D. Kvyat",17,0)+IF(Blad4!AH18="P. Gasly¹",17,0)+IF(Blad4!AJ18="D. Kvyat",18,0)+IF(Blad4!AJ18="P. Gasly¹",18,0)+IF(Blad4!AL18="D. Kvyat",19,0)+IF(Blad4!AL18="P. Gasly¹",19,0)+IF(Blad4!AN18="D. Kvyat",20,0)+IF(Blad4!AN18="P. Gasly¹",20,0))/2</f>
        <v>0</v>
      </c>
      <c r="AS33" s="709">
        <f>(IF(Blad4!B19="D. Kvyat",1,0)+IF(Blad4!B19="P. Gasly¹",1,0)+IF(Blad4!D19="D. Kvyat",2,0)+IF(Blad4!D19="P. Gasly¹",2,0)+IF(Blad4!F19="D. Kvyat",3,0)+IF(Blad4!F19="P. Gasly¹",3,0)+IF(Blad4!H19="D. Kvyat",4,0)+IF(Blad4!H19="P. Gasly¹",4,0)+IF(Blad4!J19="D. Kvyat",5,0)+IF(Blad4!J19="P. Gasly¹",5,0)+IF(Blad4!L19="D. Kvyat",6,0)+IF(Blad4!L19="P. Gasly¹",6,0)+IF(Blad4!N19="D. Kvyat",7,0)+IF(Blad4!N19="P. Gasly¹",7,0)+IF(Blad4!P19="D. Kvyat",8,0)+IF(Blad4!P19="P. Gasly¹",8,0)+IF(Blad4!R19="D. Kvyat",9,0)+IF(Blad4!R19="P. Gasly¹",9,0)+IF(Blad4!T19="D. Kvyat",10,0)+IF(Blad4!T19="P. Gasly¹",10,0)+IF(Blad4!V19="D. Kvyat",11,0)+IF(Blad4!V19="P. Gasly¹",11,0)+IF(Blad4!X19="D. Kvyat",12,0)+IF(Blad4!X19="P. Gasly¹",12,0)+IF(Blad4!Z19="D. Kvyat",13,0)+IF(Blad4!Z19="P. Gasly¹",13,0)+IF(Blad4!AB19="D. Kvyat",14,0)+IF(Blad4!AB19="P. Gasly¹",14,0)+IF(Blad4!AD19="D. Kvyat",15,0)+IF(Blad4!AD19="P. Gasly¹",15,0)+IF(Blad4!AF19="D. Kvyat",16,0)+IF(Blad4!AF19="P. Gasly¹",16,0)+IF(Blad4!AH19="D. Kvyat",17,0)+IF(Blad4!AH19="P. Gasly¹",17,0)+IF(Blad4!AJ19="D. Kvyat",18,0)+IF(Blad4!AJ19="P. Gasly¹",18,0)+IF(Blad4!AL19="D. Kvyat",19,0)+IF(Blad4!AL19="P. Gasly¹",19,0)+IF(Blad4!AN19="D. Kvyat",20,0)+IF(Blad4!AN19="P. Gasly¹",20,0))/2</f>
        <v>0</v>
      </c>
      <c r="AT33" s="709">
        <f>(IF(Blad4!B20="D. Kvyat",1,0)+IF(Blad4!B20="P. Gasly¹",1,0)+IF(Blad4!D20="D. Kvyat",2,0)+IF(Blad4!D20="P. Gasly¹",2,0)+IF(Blad4!F20="D. Kvyat",3,0)+IF(Blad4!F20="P. Gasly¹",3,0)+IF(Blad4!H20="D. Kvyat",4,0)+IF(Blad4!H20="P. Gasly¹",4,0)+IF(Blad4!J20="D. Kvyat",5,0)+IF(Blad4!J20="P. Gasly¹",5,0)+IF(Blad4!L20="D. Kvyat",6,0)+IF(Blad4!L20="P. Gasly¹",6,0)+IF(Blad4!N20="D. Kvyat",7,0)+IF(Blad4!N20="P. Gasly¹",7,0)+IF(Blad4!P20="D. Kvyat",8,0)+IF(Blad4!P20="P. Gasly¹",8,0)+IF(Blad4!R20="D. Kvyat",9,0)+IF(Blad4!R20="P. Gasly¹",9,0)+IF(Blad4!T20="D. Kvyat",10,0)+IF(Blad4!T20="P. Gasly¹",10,0)+IF(Blad4!V20="D. Kvyat",11,0)+IF(Blad4!V20="P. Gasly¹",11,0)+IF(Blad4!X20="D. Kvyat",12,0)+IF(Blad4!X20="P. Gasly¹",12,0)+IF(Blad4!Z20="D. Kvyat",13,0)+IF(Blad4!Z20="P. Gasly¹",13,0)+IF(Blad4!AB20="D. Kvyat",14,0)+IF(Blad4!AB20="P. Gasly¹",14,0)+IF(Blad4!AD20="D. Kvyat",15,0)+IF(Blad4!AD20="P. Gasly¹",15,0)+IF(Blad4!AF20="D. Kvyat",16,0)+IF(Blad4!AF20="P. Gasly¹",16,0)+IF(Blad4!AH20="D. Kvyat",17,0)+IF(Blad4!AH20="P. Gasly¹",17,0)+IF(Blad4!AJ20="D. Kvyat",18,0)+IF(Blad4!AJ20="P. Gasly¹",18,0)+IF(Blad4!AL20="D. Kvyat",19,0)+IF(Blad4!AL20="P. Gasly¹",19,0)+IF(Blad4!AN20="D. Kvyat",20,0)+IF(Blad4!AN20="P. Gasly¹",20,0))/2</f>
        <v>0</v>
      </c>
      <c r="AU33" s="709">
        <f>(IF(Blad4!B21="D. Kvyat",1,0)+IF(Blad4!B21="P. Gasly¹",1,0)+IF(Blad4!D21="D. Kvyat",2,0)+IF(Blad4!D21="P. Gasly¹",2,0)+IF(Blad4!F21="D. Kvyat",3,0)+IF(Blad4!F21="P. Gasly¹",3,0)+IF(Blad4!H21="D. Kvyat",4,0)+IF(Blad4!H21="P. Gasly¹",4,0)+IF(Blad4!J21="D. Kvyat",5,0)+IF(Blad4!J21="P. Gasly¹",5,0)+IF(Blad4!L21="D. Kvyat",6,0)+IF(Blad4!L21="P. Gasly¹",6,0)+IF(Blad4!N21="D. Kvyat",7,0)+IF(Blad4!N21="P. Gasly¹",7,0)+IF(Blad4!P21="D. Kvyat",8,0)+IF(Blad4!P21="P. Gasly¹",8,0)+IF(Blad4!R21="D. Kvyat",9,0)+IF(Blad4!R21="P. Gasly¹",9,0)+IF(Blad4!T21="D. Kvyat",10,0)+IF(Blad4!T21="P. Gasly¹",10,0)+IF(Blad4!V21="D. Kvyat",11,0)+IF(Blad4!V21="P. Gasly¹",11,0)+IF(Blad4!X21="D. Kvyat",12,0)+IF(Blad4!X21="P. Gasly¹",12,0)+IF(Blad4!Z21="D. Kvyat",13,0)+IF(Blad4!Z21="P. Gasly¹",13,0)+IF(Blad4!AB21="D. Kvyat",14,0)+IF(Blad4!AB21="P. Gasly¹",14,0)+IF(Blad4!AD21="D. Kvyat",15,0)+IF(Blad4!AD21="P. Gasly¹",15,0)+IF(Blad4!AF21="D. Kvyat",16,0)+IF(Blad4!AF21="P. Gasly¹",16,0)+IF(Blad4!AH21="D. Kvyat",17,0)+IF(Blad4!AH21="P. Gasly¹",17,0)+IF(Blad4!AJ21="D. Kvyat",18,0)+IF(Blad4!AJ21="P. Gasly¹",18,0)+IF(Blad4!AL21="D. Kvyat",19,0)+IF(Blad4!AL21="P. Gasly¹",19,0)+IF(Blad4!AN21="D. Kvyat",20,0)+IF(Blad4!AN21="P. Gasly¹",20,0))/2</f>
        <v>0</v>
      </c>
      <c r="AV33" s="710">
        <f>(IF(Blad4!B22="D. Kvyat",1,0)+IF(Blad4!B22="P. Gasly¹",1,0)+IF(Blad4!D22="D. Kvyat",2,0)+IF(Blad4!D22="P. Gasly¹",2,0)+IF(Blad4!F22="D. Kvyat",3,0)+IF(Blad4!F22="P. Gasly¹",3,0)+IF(Blad4!H22="D. Kvyat",4,0)+IF(Blad4!H22="P. Gasly¹",4,0)+IF(Blad4!J22="D. Kvyat",5,0)+IF(Blad4!J22="P. Gasly¹",5,0)+IF(Blad4!L22="D. Kvyat",6,0)+IF(Blad4!L22="P. Gasly¹",6,0)+IF(Blad4!N22="D. Kvyat",7,0)+IF(Blad4!N22="P. Gasly¹",7,0)+IF(Blad4!P22="D. Kvyat",8,0)+IF(Blad4!P22="P. Gasly¹",8,0)+IF(Blad4!R22="D. Kvyat",9,0)+IF(Blad4!R22="P. Gasly¹",9,0)+IF(Blad4!T22="D. Kvyat",10,0)+IF(Blad4!T22="P. Gasly¹",10,0)+IF(Blad4!V22="D. Kvyat",11,0)+IF(Blad4!V22="P. Gasly¹",11,0)+IF(Blad4!X22="D. Kvyat",12,0)+IF(Blad4!X22="P. Gasly¹",12,0)+IF(Blad4!Z22="D. Kvyat",13,0)+IF(Blad4!Z22="P. Gasly¹",13,0)+IF(Blad4!AB22="D. Kvyat",14,0)+IF(Blad4!AB22="P. Gasly¹",14,0)+IF(Blad4!AD22="D. Kvyat",15,0)+IF(Blad4!AD22="P. Gasly¹",15,0)+IF(Blad4!AF22="D. Kvyat",16,0)+IF(Blad4!AF22="P. Gasly¹",16,0)+IF(Blad4!AH22="D. Kvyat",17,0)+IF(Blad4!AH22="P. Gasly¹",17,0)+IF(Blad4!AJ22="D. Kvyat",18,0)+IF(Blad4!AJ22="P. Gasly¹",18,0)+IF(Blad4!AL22="D. Kvyat",19,0)+IF(Blad4!AL22="P. Gasly¹",19,0)+IF(Blad4!AN22="D. Kvyat",20,0)+IF(Blad4!AN22="P. Gasly¹",20,0))/2</f>
        <v>0</v>
      </c>
      <c r="AW33" s="674"/>
    </row>
    <row r="34" spans="27:49" ht="13.5" thickBot="1" x14ac:dyDescent="0.25">
      <c r="AA34" s="670" t="s">
        <v>77</v>
      </c>
      <c r="AB34" s="682"/>
      <c r="AC34" s="683"/>
      <c r="AD34" s="683"/>
      <c r="AE34" s="683"/>
      <c r="AF34" s="683"/>
      <c r="AG34" s="683"/>
      <c r="AH34" s="683"/>
      <c r="AI34" s="683"/>
      <c r="AJ34" s="683"/>
      <c r="AK34" s="683"/>
      <c r="AL34" s="683"/>
      <c r="AM34" s="683"/>
      <c r="AN34" s="683"/>
      <c r="AO34" s="683"/>
      <c r="AP34" s="683">
        <f>(IF(Blad4!B16="G. Russell",1,0)+IF(Blad4!B16="R. Kubica",1,0)+IF(Blad4!D16="G. Russell",2,0)+IF(Blad4!D16="R. Kubica",2,0)+IF(Blad4!F16="G. Russell",3,0)+IF(Blad4!F16="R. Kubica",3,0)+IF(Blad4!H16="G. Russell",4,0)+IF(Blad4!H16="R. Kubica",4,0)+IF(Blad4!J16="G. Russell",5,0)+IF(Blad4!J16="R. Kubica",5,0)+IF(Blad4!L16="G. Russell",6,0)+IF(Blad4!L16="R. Kubica",6,0)+IF(Blad4!N16="G. Russell",7,0)+IF(Blad4!N16="R. Kubica",7,0)+IF(Blad4!P16="G. Russell",8,0)+IF(Blad4!P16="R. Kubica",8,0)+IF(Blad4!R16="G. Russell",9,0)+IF(Blad4!R16="R. Kubica",9,0)+IF(Blad4!T16="G. Russell",10,0)+IF(Blad4!T16="R. Kubica",10,0)+IF(Blad4!V16="G. Russell",11,0)+IF(Blad4!V16="R. Kubica",11,0)+IF(Blad4!X16="G. Russell",12,0)+IF(Blad4!X16="R. Kubica",12,0)+IF(Blad4!Z16="G. Russell",13,0)+IF(Blad4!Z16="R. Kubica",13,0)+IF(Blad4!AB16="G. Russell",14,0)+IF(Blad4!AB16="R. Kubica",14,0)+IF(Blad4!AD16="G. Russell",15,0)+IF(Blad4!AD16="R. Kubica",15,0)+IF(Blad4!AF16="G. Russell",16,0)+IF(Blad4!AF16="R. Kubica",16,0)+IF(Blad4!AH16="G. Russell",17,0)+IF(Blad4!AH16="R. Kubica",17,0)+IF(Blad4!AJ16="G. Russell",18,0)+IF(Blad4!AJ16="R. Kubica",18,0)+IF(Blad4!AL16="G. Russell",19,0)+IF(Blad4!AL16="R. Kubica",19,0)+IF(Blad4!AN16="G. Russell",20,0)+IF(Blad4!AN16="R. Kubica",20,0))/2</f>
        <v>0</v>
      </c>
      <c r="AQ34" s="683">
        <f>(IF(Blad4!B17="G. Russell",1,0)+IF(Blad4!B17="R. Kubica",1,0)+IF(Blad4!D17="G. Russell",2,0)+IF(Blad4!D17="R. Kubica",2,0)+IF(Blad4!F17="G. Russell",3,0)+IF(Blad4!F17="R. Kubica",3,0)+IF(Blad4!H17="G. Russell",4,0)+IF(Blad4!H17="R. Kubica",4,0)+IF(Blad4!J17="G. Russell",5,0)+IF(Blad4!J17="R. Kubica",5,0)+IF(Blad4!L17="G. Russell",6,0)+IF(Blad4!L17="R. Kubica",6,0)+IF(Blad4!N17="G. Russell",7,0)+IF(Blad4!N17="R. Kubica",7,0)+IF(Blad4!P17="G. Russell",8,0)+IF(Blad4!P17="R. Kubica",8,0)+IF(Blad4!R17="G. Russell",9,0)+IF(Blad4!R17="R. Kubica",9,0)+IF(Blad4!T17="G. Russell",10,0)+IF(Blad4!T17="R. Kubica",10,0)+IF(Blad4!V17="G. Russell",11,0)+IF(Blad4!V17="R. Kubica",11,0)+IF(Blad4!X17="G. Russell",12,0)+IF(Blad4!X17="R. Kubica",12,0)+IF(Blad4!Z17="G. Russell",13,0)+IF(Blad4!Z17="R. Kubica",13,0)+IF(Blad4!AB17="G. Russell",14,0)+IF(Blad4!AB17="R. Kubica",14,0)+IF(Blad4!AD17="G. Russell",15,0)+IF(Blad4!AD17="R. Kubica",15,0)+IF(Blad4!AF17="G. Russell",16,0)+IF(Blad4!AF17="R. Kubica",16,0)+IF(Blad4!AH17="G. Russell",17,0)+IF(Blad4!AH17="R. Kubica",17,0)+IF(Blad4!AJ17="G. Russell",18,0)+IF(Blad4!AJ17="R. Kubica",18,0)+IF(Blad4!AL17="G. Russell",19,0)+IF(Blad4!AL17="R. Kubica",19,0)+IF(Blad4!AN17="G. Russell",20,0)+IF(Blad4!AN17="R. Kubica",20,0))/2</f>
        <v>0</v>
      </c>
      <c r="AR34" s="683">
        <f>(IF(Blad4!B18="G. Russell",1,0)+IF(Blad4!B18="R. Kubica",1,0)+IF(Blad4!D18="G. Russell",2,0)+IF(Blad4!D18="R. Kubica",2,0)+IF(Blad4!F18="G. Russell",3,0)+IF(Blad4!F18="R. Kubica",3,0)+IF(Blad4!H18="G. Russell",4,0)+IF(Blad4!H18="R. Kubica",4,0)+IF(Blad4!J18="G. Russell",5,0)+IF(Blad4!J18="R. Kubica",5,0)+IF(Blad4!L18="G. Russell",6,0)+IF(Blad4!L18="R. Kubica",6,0)+IF(Blad4!N18="G. Russell",7,0)+IF(Blad4!N18="R. Kubica",7,0)+IF(Blad4!P18="G. Russell",8,0)+IF(Blad4!P18="R. Kubica",8,0)+IF(Blad4!R18="G. Russell",9,0)+IF(Blad4!R18="R. Kubica",9,0)+IF(Blad4!T18="G. Russell",10,0)+IF(Blad4!T18="R. Kubica",10,0)+IF(Blad4!V18="G. Russell",11,0)+IF(Blad4!V18="R. Kubica",11,0)+IF(Blad4!X18="G. Russell",12,0)+IF(Blad4!X18="R. Kubica",12,0)+IF(Blad4!Z18="G. Russell",13,0)+IF(Blad4!Z18="R. Kubica",13,0)+IF(Blad4!AB18="G. Russell",14,0)+IF(Blad4!AB18="R. Kubica",14,0)+IF(Blad4!AD18="G. Russell",15,0)+IF(Blad4!AD18="R. Kubica",15,0)+IF(Blad4!AF18="G. Russell",16,0)+IF(Blad4!AF18="R. Kubica",16,0)+IF(Blad4!AH18="G. Russell",17,0)+IF(Blad4!AH18="R. Kubica",17,0)+IF(Blad4!AJ18="G. Russell",18,0)+IF(Blad4!AJ18="R. Kubica",18,0)+IF(Blad4!AL18="G. Russell",19,0)+IF(Blad4!AL18="R. Kubica",19,0)+IF(Blad4!AN18="G. Russell",20,0)+IF(Blad4!AN18="R. Kubica",20,0))/2</f>
        <v>0</v>
      </c>
      <c r="AS34" s="683">
        <f>(IF(Blad4!B19="G. Russell",1,0)+IF(Blad4!B19="R. Kubica",1,0)+IF(Blad4!D19="G. Russell",2,0)+IF(Blad4!D19="R. Kubica",2,0)+IF(Blad4!F19="G. Russell",3,0)+IF(Blad4!F19="R. Kubica",3,0)+IF(Blad4!H19="G. Russell",4,0)+IF(Blad4!H19="R. Kubica",4,0)+IF(Blad4!J19="G. Russell",5,0)+IF(Blad4!J19="R. Kubica",5,0)+IF(Blad4!L19="G. Russell",6,0)+IF(Blad4!L19="R. Kubica",6,0)+IF(Blad4!N19="G. Russell",7,0)+IF(Blad4!N19="R. Kubica",7,0)+IF(Blad4!P19="G. Russell",8,0)+IF(Blad4!P19="R. Kubica",8,0)+IF(Blad4!R19="G. Russell",9,0)+IF(Blad4!R19="R. Kubica",9,0)+IF(Blad4!T19="G. Russell",10,0)+IF(Blad4!T19="R. Kubica",10,0)+IF(Blad4!V19="G. Russell",11,0)+IF(Blad4!V19="R. Kubica",11,0)+IF(Blad4!X19="G. Russell",12,0)+IF(Blad4!X19="R. Kubica",12,0)+IF(Blad4!Z19="G. Russell",13,0)+IF(Blad4!Z19="R. Kubica",13,0)+IF(Blad4!AB19="G. Russell",14,0)+IF(Blad4!AB19="R. Kubica",14,0)+IF(Blad4!AD19="G. Russell",15,0)+IF(Blad4!AD19="R. Kubica",15,0)+IF(Blad4!AF19="G. Russell",16,0)+IF(Blad4!AF19="R. Kubica",16,0)+IF(Blad4!AH19="G. Russell",17,0)+IF(Blad4!AH19="R. Kubica",17,0)+IF(Blad4!AJ19="G. Russell",18,0)+IF(Blad4!AJ19="R. Kubica",18,0)+IF(Blad4!AL19="G. Russell",19,0)+IF(Blad4!AL19="R. Kubica",19,0)+IF(Blad4!AN19="G. Russell",20,0)+IF(Blad4!AN19="R. Kubica",20,0))/2</f>
        <v>0</v>
      </c>
      <c r="AT34" s="683">
        <f>(IF(Blad4!B20="G. Russell",1,0)+IF(Blad4!B20="R. Kubica",1,0)+IF(Blad4!D20="G. Russell",2,0)+IF(Blad4!D20="R. Kubica",2,0)+IF(Blad4!F20="G. Russell",3,0)+IF(Blad4!F20="R. Kubica",3,0)+IF(Blad4!H20="G. Russell",4,0)+IF(Blad4!H20="R. Kubica",4,0)+IF(Blad4!J20="G. Russell",5,0)+IF(Blad4!J20="R. Kubica",5,0)+IF(Blad4!L20="G. Russell",6,0)+IF(Blad4!L20="R. Kubica",6,0)+IF(Blad4!N20="G. Russell",7,0)+IF(Blad4!N20="R. Kubica",7,0)+IF(Blad4!P20="G. Russell",8,0)+IF(Blad4!P20="R. Kubica",8,0)+IF(Blad4!R20="G. Russell",9,0)+IF(Blad4!R20="R. Kubica",9,0)+IF(Blad4!T20="G. Russell",10,0)+IF(Blad4!T20="R. Kubica",10,0)+IF(Blad4!V20="G. Russell",11,0)+IF(Blad4!V20="R. Kubica",11,0)+IF(Blad4!X20="G. Russell",12,0)+IF(Blad4!X20="R. Kubica",12,0)+IF(Blad4!Z20="G. Russell",13,0)+IF(Blad4!Z20="R. Kubica",13,0)+IF(Blad4!AB20="G. Russell",14,0)+IF(Blad4!AB20="R. Kubica",14,0)+IF(Blad4!AD20="G. Russell",15,0)+IF(Blad4!AD20="R. Kubica",15,0)+IF(Blad4!AF20="G. Russell",16,0)+IF(Blad4!AF20="R. Kubica",16,0)+IF(Blad4!AH20="G. Russell",17,0)+IF(Blad4!AH20="R. Kubica",17,0)+IF(Blad4!AJ20="G. Russell",18,0)+IF(Blad4!AJ20="R. Kubica",18,0)+IF(Blad4!AL20="G. Russell",19,0)+IF(Blad4!AL20="R. Kubica",19,0)+IF(Blad4!AN20="G. Russell",20,0)+IF(Blad4!AN20="R. Kubica",20,0))/2</f>
        <v>0</v>
      </c>
      <c r="AU34" s="683">
        <f>(IF(Blad4!B21="G. Russell",1,0)+IF(Blad4!B21="R. Kubica",1,0)+IF(Blad4!D21="G. Russell",2,0)+IF(Blad4!D21="R. Kubica",2,0)+IF(Blad4!F21="G. Russell",3,0)+IF(Blad4!F21="R. Kubica",3,0)+IF(Blad4!H21="G. Russell",4,0)+IF(Blad4!H21="R. Kubica",4,0)+IF(Blad4!J21="G. Russell",5,0)+IF(Blad4!J21="R. Kubica",5,0)+IF(Blad4!L21="G. Russell",6,0)+IF(Blad4!L21="R. Kubica",6,0)+IF(Blad4!N21="G. Russell",7,0)+IF(Blad4!N21="R. Kubica",7,0)+IF(Blad4!P21="G. Russell",8,0)+IF(Blad4!P21="R. Kubica",8,0)+IF(Blad4!R21="G. Russell",9,0)+IF(Blad4!R21="R. Kubica",9,0)+IF(Blad4!T21="G. Russell",10,0)+IF(Blad4!T21="R. Kubica",10,0)+IF(Blad4!V21="G. Russell",11,0)+IF(Blad4!V21="R. Kubica",11,0)+IF(Blad4!X21="G. Russell",12,0)+IF(Blad4!X21="R. Kubica",12,0)+IF(Blad4!Z21="G. Russell",13,0)+IF(Blad4!Z21="R. Kubica",13,0)+IF(Blad4!AB21="G. Russell",14,0)+IF(Blad4!AB21="R. Kubica",14,0)+IF(Blad4!AD21="G. Russell",15,0)+IF(Blad4!AD21="R. Kubica",15,0)+IF(Blad4!AF21="G. Russell",16,0)+IF(Blad4!AF21="R. Kubica",16,0)+IF(Blad4!AH21="G. Russell",17,0)+IF(Blad4!AH21="R. Kubica",17,0)+IF(Blad4!AJ21="G. Russell",18,0)+IF(Blad4!AJ21="R. Kubica",18,0)+IF(Blad4!AL21="G. Russell",19,0)+IF(Blad4!AL21="R. Kubica",19,0)+IF(Blad4!AN21="G. Russell",20,0)+IF(Blad4!AN21="R. Kubica",20,0))/2</f>
        <v>0</v>
      </c>
      <c r="AV34" s="684">
        <f>(IF(Blad4!B22="G. Russell",1,0)+IF(Blad4!B22="R. Kubica",1,0)+IF(Blad4!D22="G. Russell",2,0)+IF(Blad4!D22="R. Kubica",2,0)+IF(Blad4!F22="G. Russell",3,0)+IF(Blad4!F22="R. Kubica",3,0)+IF(Blad4!H22="G. Russell",4,0)+IF(Blad4!H22="R. Kubica",4,0)+IF(Blad4!J22="G. Russell",5,0)+IF(Blad4!J22="R. Kubica",5,0)+IF(Blad4!L22="G. Russell",6,0)+IF(Blad4!L22="R. Kubica",6,0)+IF(Blad4!N22="G. Russell",7,0)+IF(Blad4!N22="R. Kubica",7,0)+IF(Blad4!P22="G. Russell",8,0)+IF(Blad4!P22="R. Kubica",8,0)+IF(Blad4!R22="G. Russell",9,0)+IF(Blad4!R22="R. Kubica",9,0)+IF(Blad4!T22="G. Russell",10,0)+IF(Blad4!T22="R. Kubica",10,0)+IF(Blad4!V22="G. Russell",11,0)+IF(Blad4!V22="R. Kubica",11,0)+IF(Blad4!X22="G. Russell",12,0)+IF(Blad4!X22="R. Kubica",12,0)+IF(Blad4!Z22="G. Russell",13,0)+IF(Blad4!Z22="R. Kubica",13,0)+IF(Blad4!AB22="G. Russell",14,0)+IF(Blad4!AB22="R. Kubica",14,0)+IF(Blad4!AD22="G. Russell",15,0)+IF(Blad4!AD22="R. Kubica",15,0)+IF(Blad4!AF22="G. Russell",16,0)+IF(Blad4!AF22="R. Kubica",16,0)+IF(Blad4!AH22="G. Russell",17,0)+IF(Blad4!AH22="R. Kubica",17,0)+IF(Blad4!AJ22="G. Russell",18,0)+IF(Blad4!AJ22="R. Kubica",18,0)+IF(Blad4!AL22="G. Russell",19,0)+IF(Blad4!AL22="R. Kubica",19,0)+IF(Blad4!AN22="G. Russell",20,0)+IF(Blad4!AN22="R. Kubica",20,0))/2</f>
        <v>0</v>
      </c>
      <c r="AW34" s="674"/>
    </row>
    <row r="35" spans="27:49" x14ac:dyDescent="0.2">
      <c r="AA35" s="674"/>
      <c r="AB35" s="674"/>
      <c r="AC35" s="674"/>
      <c r="AD35" s="674"/>
      <c r="AE35" s="674"/>
      <c r="AF35" s="674"/>
      <c r="AG35" s="674"/>
      <c r="AH35" s="674"/>
      <c r="AI35" s="674"/>
      <c r="AJ35" s="674"/>
      <c r="AK35" s="674"/>
      <c r="AL35" s="674"/>
      <c r="AM35" s="674"/>
      <c r="AN35" s="674"/>
      <c r="AO35" s="674"/>
      <c r="AP35" s="674"/>
      <c r="AQ35" s="674"/>
      <c r="AR35" s="674"/>
      <c r="AS35" s="674"/>
      <c r="AT35" s="674"/>
      <c r="AU35" s="674"/>
      <c r="AV35" s="674"/>
      <c r="AW35" s="674"/>
    </row>
  </sheetData>
  <sheetProtection sheet="1" selectLockedCells="1" autoFilter="0" selectUnlockedCells="1"/>
  <mergeCells count="1">
    <mergeCell ref="F6:S6"/>
  </mergeCell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Blad12"/>
  <dimension ref="A1:M38"/>
  <sheetViews>
    <sheetView showGridLines="0" showRowColHeaders="0" zoomScaleNormal="100" workbookViewId="0">
      <selection activeCell="A5" sqref="A5"/>
    </sheetView>
  </sheetViews>
  <sheetFormatPr defaultColWidth="9.28515625" defaultRowHeight="12.75" x14ac:dyDescent="0.2"/>
  <cols>
    <col min="1" max="1" width="25.7109375" style="372" customWidth="1"/>
    <col min="2" max="2" width="3.7109375" style="361" customWidth="1"/>
    <col min="3" max="3" width="8.7109375" style="361" customWidth="1"/>
    <col min="4" max="4" width="15.5703125" style="361" bestFit="1" customWidth="1"/>
    <col min="5" max="5" width="21.42578125" style="361" customWidth="1"/>
    <col min="6" max="6" width="19.42578125" style="361" customWidth="1"/>
    <col min="7" max="7" width="9.42578125" style="361" bestFit="1" customWidth="1"/>
    <col min="8" max="16384" width="9.28515625" style="361"/>
  </cols>
  <sheetData>
    <row r="1" spans="1:13" ht="8.1" customHeight="1" x14ac:dyDescent="0.2"/>
    <row r="2" spans="1:13" s="471" customFormat="1" ht="8.1" customHeight="1" x14ac:dyDescent="0.55000000000000004">
      <c r="A2" s="373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</row>
    <row r="3" spans="1:13" ht="8.1" customHeight="1" x14ac:dyDescent="0.2">
      <c r="M3" s="513"/>
    </row>
    <row r="4" spans="1:13" ht="8.1" customHeight="1" x14ac:dyDescent="0.2"/>
    <row r="5" spans="1:13" ht="11.1" customHeight="1" x14ac:dyDescent="0.25">
      <c r="A5" s="579" t="s">
        <v>64</v>
      </c>
      <c r="M5" s="515"/>
    </row>
    <row r="6" spans="1:13" s="366" customFormat="1" ht="11.1" customHeight="1" x14ac:dyDescent="0.2">
      <c r="A6" s="492" t="str">
        <f>(VLOOKUP($A$5,teaminfo,9,0))</f>
        <v>S. Vettel</v>
      </c>
    </row>
    <row r="7" spans="1:13" ht="11.1" customHeight="1" x14ac:dyDescent="0.2">
      <c r="A7" s="492" t="str">
        <f>VLOOKUP($A$5,teaminfo,14,0)</f>
        <v>C. Leclerc</v>
      </c>
      <c r="B7" s="366"/>
      <c r="C7" s="366"/>
      <c r="D7" s="366"/>
      <c r="E7" s="366"/>
      <c r="F7" s="366"/>
      <c r="G7" s="416"/>
      <c r="H7" s="366"/>
      <c r="I7" s="366"/>
      <c r="J7" s="366"/>
    </row>
    <row r="8" spans="1:13" ht="11.1" customHeight="1" x14ac:dyDescent="0.2">
      <c r="B8" s="366"/>
      <c r="C8" s="366"/>
      <c r="D8" s="366"/>
      <c r="E8" s="366"/>
      <c r="F8" s="366"/>
      <c r="G8" s="416"/>
      <c r="H8" s="366"/>
      <c r="I8" s="366"/>
      <c r="J8" s="366"/>
    </row>
    <row r="9" spans="1:13" s="575" customFormat="1" ht="18.75" customHeight="1" x14ac:dyDescent="0.3">
      <c r="A9" s="580"/>
      <c r="B9" s="781" t="str">
        <f>IF($A$5=0,"maak eerst een keuze",VLOOKUP($A$5,teaminfo,2,0))</f>
        <v>Scuderia Ferrari Mission Winnow</v>
      </c>
      <c r="C9" s="781"/>
      <c r="D9" s="781"/>
      <c r="E9" s="781"/>
      <c r="F9" s="781"/>
      <c r="G9" s="781"/>
      <c r="H9" s="574"/>
      <c r="I9" s="574"/>
      <c r="J9" s="574"/>
    </row>
    <row r="10" spans="1:13" x14ac:dyDescent="0.2">
      <c r="B10" s="366"/>
      <c r="C10" s="366"/>
      <c r="D10" s="366"/>
      <c r="E10" s="366"/>
      <c r="F10" s="366"/>
      <c r="G10" s="416"/>
      <c r="H10" s="366"/>
      <c r="I10" s="366"/>
      <c r="J10" s="366"/>
    </row>
    <row r="11" spans="1:13" s="366" customFormat="1" x14ac:dyDescent="0.2">
      <c r="A11" s="375"/>
      <c r="B11" s="299"/>
      <c r="C11" s="300"/>
      <c r="D11" s="785" t="s">
        <v>257</v>
      </c>
      <c r="E11" s="787" t="str">
        <f>IF($A$5=0,"",VLOOKUP($A$5,teaminfo,5,0))</f>
        <v>SF90</v>
      </c>
      <c r="F11" s="300"/>
      <c r="G11" s="301"/>
    </row>
    <row r="12" spans="1:13" s="366" customFormat="1" x14ac:dyDescent="0.2">
      <c r="A12" s="375"/>
      <c r="B12" s="302"/>
      <c r="C12" s="158"/>
      <c r="D12" s="786"/>
      <c r="E12" s="788"/>
      <c r="F12" s="158"/>
      <c r="G12" s="303"/>
    </row>
    <row r="13" spans="1:13" s="366" customFormat="1" x14ac:dyDescent="0.2">
      <c r="A13" s="375"/>
      <c r="B13" s="302"/>
      <c r="C13" s="158"/>
      <c r="D13" s="786" t="s">
        <v>256</v>
      </c>
      <c r="E13" s="790" t="str">
        <f>IF($A$5=0,"",VLOOKUP($A$5,teaminfo,6,0))</f>
        <v>Ferrari 064</v>
      </c>
      <c r="F13" s="158"/>
      <c r="G13" s="303"/>
    </row>
    <row r="14" spans="1:13" s="366" customFormat="1" x14ac:dyDescent="0.2">
      <c r="A14" s="375"/>
      <c r="B14" s="304"/>
      <c r="C14" s="305"/>
      <c r="D14" s="789"/>
      <c r="E14" s="791"/>
      <c r="F14" s="305"/>
      <c r="G14" s="306"/>
    </row>
    <row r="15" spans="1:13" ht="9.9499999999999993" customHeight="1" x14ac:dyDescent="0.2">
      <c r="B15" s="366"/>
      <c r="C15" s="366"/>
      <c r="D15" s="576"/>
      <c r="E15" s="366"/>
      <c r="F15" s="366"/>
      <c r="G15" s="416"/>
      <c r="H15" s="366"/>
      <c r="I15" s="366"/>
      <c r="J15" s="366"/>
    </row>
    <row r="16" spans="1:13" x14ac:dyDescent="0.2">
      <c r="B16" s="261"/>
      <c r="C16" s="262"/>
      <c r="D16" s="307" t="s">
        <v>193</v>
      </c>
      <c r="E16" s="275" t="str">
        <f>IF($A$5=0,"",VLOOKUP($A$5,teaminfo,8,0))</f>
        <v>5</v>
      </c>
      <c r="F16" s="275" t="str">
        <f>IF($A$5=0,"",VLOOKUP($A$5,teaminfo,13,0))</f>
        <v>16</v>
      </c>
      <c r="G16" s="308"/>
      <c r="H16" s="366"/>
      <c r="I16" s="366"/>
      <c r="J16" s="366"/>
    </row>
    <row r="17" spans="1:10" s="542" customFormat="1" ht="15" x14ac:dyDescent="0.25">
      <c r="A17" s="581"/>
      <c r="B17" s="309"/>
      <c r="C17" s="159"/>
      <c r="D17" s="212"/>
      <c r="E17" s="160" t="str">
        <f>IF($A$5=0,"",(VLOOKUP($A$6,info_rijder,2,0)))</f>
        <v>Sebastian Vettel</v>
      </c>
      <c r="F17" s="160" t="str">
        <f>IF($A$5=0,"",VLOOKUP($A$7,info_rijder,2,0))</f>
        <v>Charles Leclerc</v>
      </c>
      <c r="G17" s="310"/>
      <c r="H17" s="577"/>
      <c r="I17" s="577"/>
      <c r="J17" s="577"/>
    </row>
    <row r="18" spans="1:10" ht="23.25" customHeight="1" x14ac:dyDescent="0.2">
      <c r="B18" s="265"/>
      <c r="C18" s="2"/>
      <c r="D18" s="213"/>
      <c r="E18" s="260" t="str">
        <f>IF($A$5=0,"",VLOOKUP($A$5,teaminfo,10,0))</f>
        <v>Duitsland</v>
      </c>
      <c r="F18" s="260" t="str">
        <f>IF($A$5=0,"",VLOOKUP($A$5,teaminfo,15,0))</f>
        <v>Monaco</v>
      </c>
      <c r="G18" s="311"/>
      <c r="H18" s="366"/>
      <c r="I18" s="366"/>
      <c r="J18" s="366"/>
    </row>
    <row r="19" spans="1:10" ht="15" customHeight="1" x14ac:dyDescent="0.2">
      <c r="B19" s="265"/>
      <c r="C19" s="2"/>
      <c r="D19" s="213" t="s">
        <v>249</v>
      </c>
      <c r="E19" s="57">
        <f>IF($A$5=0,"",VLOOKUP($A$5,teaminfo,11,0))</f>
        <v>31961</v>
      </c>
      <c r="F19" s="57">
        <f>IF($A$5=0,"",VLOOKUP($A$5,teaminfo,16,0))</f>
        <v>35719</v>
      </c>
      <c r="G19" s="311"/>
      <c r="H19" s="366"/>
      <c r="I19" s="366"/>
      <c r="J19" s="366"/>
    </row>
    <row r="20" spans="1:10" ht="15" customHeight="1" x14ac:dyDescent="0.2">
      <c r="B20" s="265"/>
      <c r="C20" s="2"/>
      <c r="D20" s="213" t="s">
        <v>372</v>
      </c>
      <c r="E20" s="121">
        <f ca="1">DATEDIF(E19,TODAY(),"y")</f>
        <v>32</v>
      </c>
      <c r="F20" s="121">
        <f ca="1">DATEDIF(F19,TODAY(),"y")</f>
        <v>21</v>
      </c>
      <c r="G20" s="311"/>
      <c r="H20" s="366"/>
      <c r="I20" s="366"/>
      <c r="J20" s="366"/>
    </row>
    <row r="21" spans="1:10" ht="15" customHeight="1" x14ac:dyDescent="0.2">
      <c r="B21" s="267"/>
      <c r="C21" s="268"/>
      <c r="D21" s="312" t="s">
        <v>250</v>
      </c>
      <c r="E21" s="274" t="str">
        <f>IF($A$5=0,"",VLOOKUP($A$5,teaminfo,12,0))</f>
        <v>USA 2007</v>
      </c>
      <c r="F21" s="274" t="str">
        <f>IF($A$5=0,"",VLOOKUP($A$5,teaminfo,17,0))</f>
        <v>Australië 2018</v>
      </c>
      <c r="G21" s="313"/>
      <c r="H21" s="366"/>
      <c r="I21" s="366"/>
      <c r="J21" s="366"/>
    </row>
    <row r="22" spans="1:10" ht="15" customHeight="1" x14ac:dyDescent="0.2">
      <c r="B22" s="782">
        <v>2019</v>
      </c>
      <c r="C22" s="314"/>
      <c r="D22" s="307" t="s">
        <v>258</v>
      </c>
      <c r="E22" s="275">
        <f>IF($A$5=0,"",VLOOKUP($A$6,info_rijder,7,0))</f>
        <v>1</v>
      </c>
      <c r="F22" s="275">
        <f>IF($A$5=0,"",VLOOKUP($A$7,info_rijder,7,0))</f>
        <v>4</v>
      </c>
      <c r="G22" s="308"/>
      <c r="H22" s="366"/>
      <c r="I22" s="366"/>
      <c r="J22" s="366"/>
    </row>
    <row r="23" spans="1:10" ht="15" customHeight="1" x14ac:dyDescent="0.2">
      <c r="B23" s="783"/>
      <c r="C23" s="315"/>
      <c r="D23" s="213" t="s">
        <v>259</v>
      </c>
      <c r="E23" s="85">
        <f>IF($A$5=0,"",VLOOKUP($A$6,info_rijder,8,0))</f>
        <v>0</v>
      </c>
      <c r="F23" s="85">
        <f>IF($A$5=0,"",VLOOKUP($A$7,info_rijder,8,0))</f>
        <v>2</v>
      </c>
      <c r="G23" s="311"/>
      <c r="H23" s="366"/>
      <c r="I23" s="366"/>
      <c r="J23" s="366"/>
    </row>
    <row r="24" spans="1:10" ht="15" customHeight="1" x14ac:dyDescent="0.2">
      <c r="B24" s="783"/>
      <c r="C24" s="315"/>
      <c r="D24" s="213" t="s">
        <v>260</v>
      </c>
      <c r="E24" s="85">
        <f>IF($A$5=0,"",VLOOKUP($A$6,info_rijder,9,0))</f>
        <v>2</v>
      </c>
      <c r="F24" s="85">
        <f>IF($A$5=0,"",VLOOKUP($A$7,info_rijder,9,0))</f>
        <v>2</v>
      </c>
      <c r="G24" s="311"/>
      <c r="H24" s="366"/>
      <c r="I24" s="366"/>
      <c r="J24" s="366"/>
    </row>
    <row r="25" spans="1:10" ht="15" customHeight="1" x14ac:dyDescent="0.2">
      <c r="B25" s="784"/>
      <c r="C25" s="316"/>
      <c r="D25" s="312" t="s">
        <v>261</v>
      </c>
      <c r="E25" s="274">
        <f>IF($A$5=0,"",VLOOKUP($A$6,info_rijder,6,0))</f>
        <v>167</v>
      </c>
      <c r="F25" s="274">
        <f>IF($A$5=0,"",VLOOKUP($A$7,info_rijder,6,0))</f>
        <v>180</v>
      </c>
      <c r="G25" s="313"/>
      <c r="H25" s="366"/>
      <c r="I25" s="366"/>
      <c r="J25" s="366"/>
    </row>
    <row r="26" spans="1:10" ht="9.9499999999999993" customHeight="1" x14ac:dyDescent="0.2">
      <c r="B26" s="366"/>
      <c r="C26" s="366"/>
      <c r="D26" s="578"/>
      <c r="E26" s="384"/>
      <c r="F26" s="384"/>
      <c r="G26" s="416"/>
      <c r="H26" s="366"/>
      <c r="I26" s="366"/>
      <c r="J26" s="366"/>
    </row>
    <row r="27" spans="1:10" s="366" customFormat="1" ht="15" customHeight="1" x14ac:dyDescent="0.2">
      <c r="A27" s="375"/>
      <c r="B27" s="261"/>
      <c r="C27" s="262"/>
      <c r="D27" s="307" t="s">
        <v>251</v>
      </c>
      <c r="E27" s="275">
        <f>IF($A$5=0,"",VLOOKUP($A$5,teaminfo,19,0))</f>
        <v>0</v>
      </c>
      <c r="F27" s="275"/>
      <c r="G27" s="308"/>
    </row>
    <row r="28" spans="1:10" s="366" customFormat="1" ht="15" customHeight="1" x14ac:dyDescent="0.2">
      <c r="A28" s="375"/>
      <c r="B28" s="267"/>
      <c r="C28" s="268"/>
      <c r="D28" s="317"/>
      <c r="E28" s="274">
        <f>IF($A$5=0,"",VLOOKUP($A$5,teaminfo,20,0))</f>
        <v>0</v>
      </c>
      <c r="F28" s="274"/>
      <c r="G28" s="313"/>
    </row>
    <row r="29" spans="1:10" s="366" customFormat="1" ht="9.9499999999999993" customHeight="1" x14ac:dyDescent="0.2">
      <c r="A29" s="375"/>
      <c r="D29" s="578"/>
      <c r="E29" s="384"/>
      <c r="F29" s="384"/>
      <c r="G29" s="416"/>
    </row>
    <row r="30" spans="1:10" s="366" customFormat="1" ht="15" customHeight="1" x14ac:dyDescent="0.2">
      <c r="A30" s="375"/>
      <c r="B30" s="261"/>
      <c r="C30" s="318"/>
      <c r="D30" s="307" t="s">
        <v>252</v>
      </c>
      <c r="E30" s="275" t="str">
        <f>IF($A$5=0,"",VLOOKUP($A$5,teaminfo,18,0))</f>
        <v>Mattia Binotto</v>
      </c>
      <c r="F30" s="275"/>
      <c r="G30" s="319"/>
    </row>
    <row r="31" spans="1:10" s="366" customFormat="1" ht="5.0999999999999996" hidden="1" customHeight="1" x14ac:dyDescent="0.2">
      <c r="A31" s="375"/>
      <c r="B31" s="265"/>
      <c r="C31" s="130"/>
      <c r="D31" s="214"/>
      <c r="E31" s="85"/>
      <c r="F31" s="85"/>
      <c r="G31" s="320"/>
    </row>
    <row r="32" spans="1:10" s="366" customFormat="1" ht="15" customHeight="1" x14ac:dyDescent="0.2">
      <c r="A32" s="375"/>
      <c r="B32" s="265"/>
      <c r="C32" s="130"/>
      <c r="D32" s="213" t="s">
        <v>254</v>
      </c>
      <c r="E32" s="85" t="str">
        <f>IF($A$5=0,"",VLOOKUP($A$5,teaminfo,4,0))</f>
        <v>Maranello, Italië</v>
      </c>
      <c r="F32" s="85"/>
      <c r="G32" s="321"/>
    </row>
    <row r="33" spans="1:7" s="366" customFormat="1" ht="15" customHeight="1" x14ac:dyDescent="0.2">
      <c r="A33" s="375"/>
      <c r="B33" s="265"/>
      <c r="C33" s="130"/>
      <c r="D33" s="213" t="s">
        <v>255</v>
      </c>
      <c r="E33" s="85" t="str">
        <f>IF($A$5=0,"",VLOOKUP($A$5,teaminfo,22,0))</f>
        <v>www.formula1.ferrari.com</v>
      </c>
      <c r="F33" s="85"/>
      <c r="G33" s="321"/>
    </row>
    <row r="34" spans="1:7" s="366" customFormat="1" ht="15" customHeight="1" x14ac:dyDescent="0.2">
      <c r="A34" s="375"/>
      <c r="B34" s="267"/>
      <c r="C34" s="322"/>
      <c r="D34" s="312" t="s">
        <v>253</v>
      </c>
      <c r="E34" s="274" t="str">
        <f>IF($A$5=0,"",VLOOKUP($A$5,teaminfo,3,0))</f>
        <v>1950</v>
      </c>
      <c r="F34" s="274"/>
      <c r="G34" s="323"/>
    </row>
    <row r="35" spans="1:7" s="366" customFormat="1" ht="15" customHeight="1" x14ac:dyDescent="0.2">
      <c r="A35" s="375"/>
      <c r="B35" s="782" t="s">
        <v>557</v>
      </c>
      <c r="C35" s="261"/>
      <c r="D35" s="307" t="s">
        <v>262</v>
      </c>
      <c r="E35" s="275" t="str">
        <f>IF($A$5=0,"",VLOOKUP($A$5,teaminfo,23,0))</f>
        <v>1 (236x)</v>
      </c>
      <c r="F35" s="275"/>
      <c r="G35" s="264"/>
    </row>
    <row r="36" spans="1:7" s="366" customFormat="1" ht="15" customHeight="1" x14ac:dyDescent="0.2">
      <c r="A36" s="375"/>
      <c r="B36" s="783"/>
      <c r="C36" s="265"/>
      <c r="D36" s="213" t="s">
        <v>263</v>
      </c>
      <c r="E36" s="85" t="str">
        <f>IF($A$5=0,"",VLOOKUP($A$5,teaminfo,24,0))</f>
        <v>215</v>
      </c>
      <c r="F36" s="2"/>
      <c r="G36" s="266"/>
    </row>
    <row r="37" spans="1:7" s="366" customFormat="1" x14ac:dyDescent="0.2">
      <c r="A37" s="375"/>
      <c r="B37" s="783"/>
      <c r="C37" s="265"/>
      <c r="D37" s="213" t="s">
        <v>264</v>
      </c>
      <c r="E37" s="85" t="str">
        <f>IF($A$5=0,"",VLOOKUP($A$5,teaminfo,25,0))</f>
        <v>247</v>
      </c>
      <c r="F37" s="2"/>
      <c r="G37" s="266"/>
    </row>
    <row r="38" spans="1:7" s="366" customFormat="1" x14ac:dyDescent="0.2">
      <c r="A38" s="375"/>
      <c r="B38" s="784"/>
      <c r="C38" s="267"/>
      <c r="D38" s="312" t="s">
        <v>265</v>
      </c>
      <c r="E38" s="274" t="str">
        <f>IF($A$5=0,"",VLOOKUP($A$5,teaminfo,26,0))</f>
        <v>16</v>
      </c>
      <c r="F38" s="268"/>
      <c r="G38" s="270"/>
    </row>
  </sheetData>
  <sheetProtection formatColumns="0" formatRows="0" selectLockedCells="1" selectUnlockedCells="1"/>
  <mergeCells count="7">
    <mergeCell ref="B9:G9"/>
    <mergeCell ref="B22:B25"/>
    <mergeCell ref="B35:B38"/>
    <mergeCell ref="D11:D12"/>
    <mergeCell ref="E11:E12"/>
    <mergeCell ref="D13:D14"/>
    <mergeCell ref="E13:E14"/>
  </mergeCells>
  <phoneticPr fontId="2" type="noConversion"/>
  <conditionalFormatting sqref="E27:E28">
    <cfRule type="cellIs" dxfId="10" priority="7" stopIfTrue="1" operator="equal">
      <formula>0</formula>
    </cfRule>
  </conditionalFormatting>
  <conditionalFormatting sqref="B22">
    <cfRule type="expression" dxfId="9" priority="5" stopIfTrue="1">
      <formula>IF(#REF!,TRUE)</formula>
    </cfRule>
    <cfRule type="expression" dxfId="8" priority="6" stopIfTrue="1">
      <formula>IF(#REF!,TRUE)</formula>
    </cfRule>
  </conditionalFormatting>
  <conditionalFormatting sqref="B35">
    <cfRule type="expression" dxfId="7" priority="1" stopIfTrue="1">
      <formula>IF(#REF!,TRUE)</formula>
    </cfRule>
    <cfRule type="expression" dxfId="6" priority="2" stopIfTrue="1">
      <formula>IF(#REF!,TRUE)</formula>
    </cfRule>
  </conditionalFormatting>
  <pageMargins left="0.75" right="0.75" top="1" bottom="1" header="0.5" footer="0.5"/>
  <pageSetup paperSize="9" orientation="portrait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2997" r:id="rId4" name="teamkeuze">
          <controlPr locked="0" defaultSize="0" autoLine="0" altText="kies een team" linkedCell="A5" listFillRange="Blad3!$A$2:$A$11" r:id="rId5">
            <anchor moveWithCells="1">
              <from>
                <xdr:col>4</xdr:col>
                <xdr:colOff>0</xdr:colOff>
                <xdr:row>3</xdr:row>
                <xdr:rowOff>85725</xdr:rowOff>
              </from>
              <to>
                <xdr:col>5</xdr:col>
                <xdr:colOff>238125</xdr:colOff>
                <xdr:row>5</xdr:row>
                <xdr:rowOff>104775</xdr:rowOff>
              </to>
            </anchor>
          </controlPr>
        </control>
      </mc:Choice>
      <mc:Fallback>
        <control shapeId="22997" r:id="rId4" name="teamkeuze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Blad35">
    <tabColor theme="3" tint="-0.249977111117893"/>
  </sheetPr>
  <dimension ref="A1:EK50"/>
  <sheetViews>
    <sheetView zoomScale="90" zoomScaleNormal="90" workbookViewId="0">
      <pane xSplit="3" ySplit="1" topLeftCell="X2" activePane="bottomRight" state="frozen"/>
      <selection pane="topRight" activeCell="D1" sqref="D1"/>
      <selection pane="bottomLeft" activeCell="A2" sqref="A2"/>
      <selection pane="bottomRight" activeCell="X16" sqref="X16"/>
    </sheetView>
  </sheetViews>
  <sheetFormatPr defaultColWidth="9.28515625" defaultRowHeight="12.75" x14ac:dyDescent="0.2"/>
  <cols>
    <col min="1" max="1" width="7.7109375" style="1" customWidth="1"/>
    <col min="2" max="2" width="18.28515625" style="1" customWidth="1"/>
    <col min="3" max="3" width="12.140625" style="1" customWidth="1"/>
    <col min="4" max="4" width="14.140625" style="1" hidden="1" customWidth="1"/>
    <col min="5" max="5" width="16.85546875" style="1" hidden="1" customWidth="1"/>
    <col min="6" max="6" width="29.140625" style="1" hidden="1" customWidth="1"/>
    <col min="7" max="7" width="10.28515625" style="1" hidden="1" customWidth="1"/>
    <col min="8" max="9" width="9.28515625" style="1" hidden="1" customWidth="1"/>
    <col min="10" max="10" width="9.7109375" style="1" hidden="1" customWidth="1"/>
    <col min="11" max="11" width="14.7109375" style="1" hidden="1" customWidth="1"/>
    <col min="12" max="12" width="9.28515625" style="1" hidden="1" customWidth="1"/>
    <col min="13" max="13" width="9.7109375" style="1" hidden="1" customWidth="1"/>
    <col min="14" max="14" width="18.42578125" style="1" hidden="1" customWidth="1"/>
    <col min="15" max="15" width="15.28515625" style="1" hidden="1" customWidth="1"/>
    <col min="16" max="16" width="9.7109375" style="1" hidden="1" customWidth="1"/>
    <col min="17" max="17" width="10.7109375" style="1" hidden="1" customWidth="1"/>
    <col min="18" max="18" width="14.7109375" style="1" hidden="1" customWidth="1"/>
    <col min="19" max="19" width="9.7109375" style="1" hidden="1" customWidth="1"/>
    <col min="20" max="20" width="14.7109375" style="1" hidden="1" customWidth="1"/>
    <col min="21" max="21" width="9.7109375" style="1" hidden="1" customWidth="1"/>
    <col min="22" max="22" width="14.7109375" style="1" hidden="1" customWidth="1"/>
    <col min="23" max="23" width="9.7109375" style="1" hidden="1" customWidth="1"/>
    <col min="24" max="24" width="15.5703125" style="1" customWidth="1"/>
    <col min="25" max="25" width="12.7109375" style="1" customWidth="1"/>
    <col min="26" max="26" width="15.5703125" style="1" customWidth="1"/>
    <col min="27" max="27" width="9.28515625" style="1" customWidth="1"/>
    <col min="28" max="28" width="10.28515625" style="1" customWidth="1"/>
    <col min="29" max="29" width="15.5703125" style="1" customWidth="1"/>
    <col min="30" max="30" width="5.7109375" style="86" customWidth="1"/>
    <col min="31" max="31" width="5.7109375" style="86" hidden="1" customWidth="1"/>
    <col min="32" max="32" width="5.7109375" style="86" customWidth="1"/>
    <col min="33" max="33" width="14.7109375" style="86" customWidth="1"/>
    <col min="34" max="34" width="15.5703125" style="1" customWidth="1"/>
    <col min="35" max="35" width="5.7109375" style="86" customWidth="1"/>
    <col min="36" max="36" width="5.7109375" style="86" hidden="1" customWidth="1"/>
    <col min="37" max="37" width="5.7109375" style="86" customWidth="1"/>
    <col min="38" max="38" width="8.7109375" style="87" customWidth="1"/>
    <col min="39" max="39" width="15.5703125" style="1" customWidth="1"/>
    <col min="40" max="40" width="5.7109375" style="86" customWidth="1"/>
    <col min="41" max="41" width="5.7109375" style="86" hidden="1" customWidth="1"/>
    <col min="42" max="42" width="5.7109375" style="86" customWidth="1"/>
    <col min="43" max="43" width="8.7109375" style="87" customWidth="1"/>
    <col min="44" max="44" width="15.5703125" style="1" customWidth="1"/>
    <col min="45" max="45" width="5.7109375" style="86" customWidth="1"/>
    <col min="46" max="46" width="5.7109375" style="86" hidden="1" customWidth="1"/>
    <col min="47" max="47" width="5.7109375" style="86" customWidth="1"/>
    <col min="48" max="48" width="8.7109375" style="87" customWidth="1"/>
    <col min="49" max="49" width="15.5703125" style="1" customWidth="1"/>
    <col min="50" max="50" width="5.7109375" style="1" customWidth="1"/>
    <col min="51" max="51" width="5.7109375" style="1" hidden="1" customWidth="1"/>
    <col min="52" max="52" width="5.7109375" style="1" customWidth="1"/>
    <col min="53" max="53" width="8.7109375" style="88" customWidth="1"/>
    <col min="54" max="54" width="15.5703125" style="1" customWidth="1"/>
    <col min="55" max="55" width="5.7109375" style="1" customWidth="1"/>
    <col min="56" max="56" width="5.7109375" style="1" hidden="1" customWidth="1"/>
    <col min="57" max="57" width="5.7109375" style="1" customWidth="1"/>
    <col min="58" max="58" width="8.7109375" style="88" customWidth="1"/>
    <col min="59" max="59" width="15.5703125" style="1" customWidth="1"/>
    <col min="60" max="60" width="5.7109375" style="1" customWidth="1"/>
    <col min="61" max="61" width="5.7109375" style="1" hidden="1" customWidth="1"/>
    <col min="62" max="62" width="5.7109375" style="1" customWidth="1"/>
    <col min="63" max="63" width="8.7109375" style="88" customWidth="1"/>
    <col min="64" max="64" width="15.5703125" style="1" customWidth="1"/>
    <col min="65" max="65" width="5.7109375" style="1" customWidth="1"/>
    <col min="66" max="66" width="5.7109375" style="1" hidden="1" customWidth="1"/>
    <col min="67" max="67" width="5.7109375" style="1" customWidth="1"/>
    <col min="68" max="68" width="8.7109375" style="88" customWidth="1"/>
    <col min="69" max="69" width="15.5703125" style="1" customWidth="1"/>
    <col min="70" max="70" width="5.7109375" style="1" customWidth="1"/>
    <col min="71" max="71" width="5.7109375" style="1" hidden="1" customWidth="1"/>
    <col min="72" max="72" width="5.7109375" style="1" customWidth="1"/>
    <col min="73" max="73" width="8.7109375" style="88" customWidth="1"/>
    <col min="74" max="74" width="15.5703125" style="1" customWidth="1"/>
    <col min="75" max="75" width="5.7109375" style="1" customWidth="1"/>
    <col min="76" max="76" width="5.7109375" style="1" hidden="1" customWidth="1"/>
    <col min="77" max="77" width="5.7109375" style="1" customWidth="1"/>
    <col min="78" max="78" width="8.7109375" style="88" customWidth="1"/>
    <col min="79" max="79" width="15.5703125" style="1" customWidth="1"/>
    <col min="80" max="80" width="5.7109375" style="1" customWidth="1"/>
    <col min="81" max="81" width="5.7109375" style="1" hidden="1" customWidth="1"/>
    <col min="82" max="82" width="5.7109375" style="1" customWidth="1"/>
    <col min="83" max="83" width="8.7109375" style="88" customWidth="1"/>
    <col min="84" max="84" width="15.5703125" style="1" customWidth="1"/>
    <col min="85" max="85" width="5.7109375" style="1" customWidth="1"/>
    <col min="86" max="86" width="5.7109375" style="1" hidden="1" customWidth="1"/>
    <col min="87" max="87" width="5.7109375" style="1" customWidth="1"/>
    <col min="88" max="88" width="8.7109375" style="88" customWidth="1"/>
    <col min="89" max="89" width="15.5703125" style="1" customWidth="1"/>
    <col min="90" max="90" width="5.7109375" style="1" customWidth="1"/>
    <col min="91" max="91" width="5.7109375" style="1" hidden="1" customWidth="1"/>
    <col min="92" max="92" width="5.7109375" style="1" customWidth="1"/>
    <col min="93" max="93" width="8.7109375" style="88" customWidth="1"/>
    <col min="94" max="94" width="15.5703125" style="1" customWidth="1"/>
    <col min="95" max="95" width="5.7109375" style="1" customWidth="1"/>
    <col min="96" max="96" width="5.7109375" style="1" hidden="1" customWidth="1"/>
    <col min="97" max="97" width="5.7109375" style="1" customWidth="1"/>
    <col min="98" max="98" width="8.7109375" style="88" customWidth="1"/>
    <col min="99" max="99" width="15.5703125" style="1" customWidth="1"/>
    <col min="100" max="100" width="5.7109375" style="1" customWidth="1"/>
    <col min="101" max="101" width="5.7109375" style="1" hidden="1" customWidth="1"/>
    <col min="102" max="102" width="5.7109375" style="1" customWidth="1"/>
    <col min="103" max="103" width="8.7109375" style="88" customWidth="1"/>
    <col min="104" max="104" width="15.5703125" style="1" customWidth="1"/>
    <col min="105" max="105" width="5.7109375" style="1" customWidth="1"/>
    <col min="106" max="106" width="5.7109375" style="1" hidden="1" customWidth="1"/>
    <col min="107" max="107" width="5.7109375" style="1" customWidth="1"/>
    <col min="108" max="108" width="8.7109375" style="88" customWidth="1"/>
    <col min="109" max="109" width="15.5703125" style="1" customWidth="1"/>
    <col min="110" max="110" width="5.7109375" style="1" customWidth="1"/>
    <col min="111" max="111" width="5.7109375" style="1" hidden="1" customWidth="1"/>
    <col min="112" max="112" width="5.7109375" style="1" customWidth="1"/>
    <col min="113" max="113" width="8.7109375" style="88" customWidth="1"/>
    <col min="114" max="114" width="15.5703125" style="1" customWidth="1"/>
    <col min="115" max="115" width="5.7109375" style="1" customWidth="1"/>
    <col min="116" max="116" width="5.7109375" style="1" hidden="1" customWidth="1"/>
    <col min="117" max="117" width="5.7109375" style="1" customWidth="1"/>
    <col min="118" max="118" width="8.7109375" style="88" customWidth="1"/>
    <col min="119" max="119" width="15.5703125" style="1" customWidth="1"/>
    <col min="120" max="120" width="5.7109375" style="1" customWidth="1"/>
    <col min="121" max="121" width="5.7109375" style="1" hidden="1" customWidth="1"/>
    <col min="122" max="122" width="5.7109375" style="1" customWidth="1"/>
    <col min="123" max="123" width="8.7109375" style="88" customWidth="1"/>
    <col min="124" max="124" width="15.5703125" style="1" customWidth="1"/>
    <col min="125" max="125" width="5.7109375" style="1" customWidth="1"/>
    <col min="126" max="126" width="5.7109375" style="1" hidden="1" customWidth="1"/>
    <col min="127" max="127" width="5.7109375" style="1" customWidth="1"/>
    <col min="128" max="128" width="8.7109375" style="88" customWidth="1"/>
    <col min="129" max="129" width="15.5703125" style="88" hidden="1" customWidth="1"/>
    <col min="130" max="133" width="8.7109375" style="88" hidden="1" customWidth="1"/>
    <col min="134" max="134" width="15.5703125" style="88" hidden="1" customWidth="1"/>
    <col min="135" max="138" width="8.7109375" style="88" hidden="1" customWidth="1"/>
    <col min="139" max="139" width="12.140625" style="1" customWidth="1"/>
    <col min="140" max="140" width="11.28515625" style="1" customWidth="1"/>
    <col min="141" max="141" width="11.5703125" style="1" hidden="1" customWidth="1"/>
    <col min="142" max="142" width="9.28515625" style="1" customWidth="1"/>
    <col min="143" max="143" width="8.7109375" style="1" customWidth="1"/>
    <col min="144" max="16384" width="9.28515625" style="1"/>
  </cols>
  <sheetData>
    <row r="1" spans="1:141" s="84" customFormat="1" ht="15" customHeight="1" thickBot="1" x14ac:dyDescent="0.25">
      <c r="A1" s="232" t="s">
        <v>0</v>
      </c>
      <c r="B1" s="332" t="s">
        <v>1</v>
      </c>
      <c r="C1" s="333" t="s">
        <v>2</v>
      </c>
      <c r="D1" s="639" t="s">
        <v>3</v>
      </c>
      <c r="E1" s="640" t="s">
        <v>4</v>
      </c>
      <c r="F1" s="640" t="s">
        <v>5</v>
      </c>
      <c r="G1" s="641" t="s">
        <v>6</v>
      </c>
      <c r="H1" s="641" t="s">
        <v>7</v>
      </c>
      <c r="I1" s="641" t="s">
        <v>8</v>
      </c>
      <c r="J1" s="642" t="s">
        <v>9</v>
      </c>
      <c r="K1" s="229" t="s">
        <v>221</v>
      </c>
      <c r="L1" s="225" t="s">
        <v>11</v>
      </c>
      <c r="M1" s="226" t="s">
        <v>222</v>
      </c>
      <c r="N1" s="598" t="s">
        <v>224</v>
      </c>
      <c r="O1" s="242" t="s">
        <v>60</v>
      </c>
      <c r="P1" s="243" t="s">
        <v>10</v>
      </c>
      <c r="Q1" s="244" t="s">
        <v>11</v>
      </c>
      <c r="R1" s="601" t="s">
        <v>225</v>
      </c>
      <c r="S1" s="243" t="s">
        <v>10</v>
      </c>
      <c r="T1" s="243" t="s">
        <v>226</v>
      </c>
      <c r="U1" s="243" t="s">
        <v>10</v>
      </c>
      <c r="V1" s="243" t="s">
        <v>227</v>
      </c>
      <c r="W1" s="244" t="s">
        <v>10</v>
      </c>
      <c r="X1" s="134" t="s">
        <v>12</v>
      </c>
      <c r="Y1" s="135" t="s">
        <v>13</v>
      </c>
      <c r="Z1" s="136" t="s">
        <v>14</v>
      </c>
      <c r="AA1" s="137" t="s">
        <v>15</v>
      </c>
      <c r="AB1" s="138" t="s">
        <v>16</v>
      </c>
      <c r="AC1" s="78" t="s">
        <v>17</v>
      </c>
      <c r="AD1" s="79" t="s">
        <v>18</v>
      </c>
      <c r="AE1" s="79" t="s">
        <v>19</v>
      </c>
      <c r="AF1" s="79" t="s">
        <v>20</v>
      </c>
      <c r="AG1" s="80" t="s">
        <v>21</v>
      </c>
      <c r="AH1" s="81" t="s">
        <v>22</v>
      </c>
      <c r="AI1" s="82" t="s">
        <v>18</v>
      </c>
      <c r="AJ1" s="82" t="s">
        <v>19</v>
      </c>
      <c r="AK1" s="82" t="s">
        <v>20</v>
      </c>
      <c r="AL1" s="83" t="s">
        <v>23</v>
      </c>
      <c r="AM1" s="81" t="s">
        <v>24</v>
      </c>
      <c r="AN1" s="82" t="s">
        <v>18</v>
      </c>
      <c r="AO1" s="82" t="s">
        <v>19</v>
      </c>
      <c r="AP1" s="82" t="s">
        <v>20</v>
      </c>
      <c r="AQ1" s="83" t="s">
        <v>25</v>
      </c>
      <c r="AR1" s="81" t="s">
        <v>26</v>
      </c>
      <c r="AS1" s="82" t="s">
        <v>18</v>
      </c>
      <c r="AT1" s="82" t="s">
        <v>19</v>
      </c>
      <c r="AU1" s="82" t="s">
        <v>20</v>
      </c>
      <c r="AV1" s="83" t="s">
        <v>27</v>
      </c>
      <c r="AW1" s="81" t="s">
        <v>28</v>
      </c>
      <c r="AX1" s="82" t="s">
        <v>18</v>
      </c>
      <c r="AY1" s="82" t="s">
        <v>19</v>
      </c>
      <c r="AZ1" s="82" t="s">
        <v>20</v>
      </c>
      <c r="BA1" s="83" t="s">
        <v>29</v>
      </c>
      <c r="BB1" s="81" t="s">
        <v>30</v>
      </c>
      <c r="BC1" s="82" t="s">
        <v>18</v>
      </c>
      <c r="BD1" s="82" t="s">
        <v>19</v>
      </c>
      <c r="BE1" s="82" t="s">
        <v>20</v>
      </c>
      <c r="BF1" s="83" t="s">
        <v>31</v>
      </c>
      <c r="BG1" s="81" t="s">
        <v>32</v>
      </c>
      <c r="BH1" s="82" t="s">
        <v>18</v>
      </c>
      <c r="BI1" s="82" t="s">
        <v>19</v>
      </c>
      <c r="BJ1" s="82" t="s">
        <v>20</v>
      </c>
      <c r="BK1" s="83" t="s">
        <v>33</v>
      </c>
      <c r="BL1" s="81" t="s">
        <v>34</v>
      </c>
      <c r="BM1" s="82" t="s">
        <v>18</v>
      </c>
      <c r="BN1" s="82" t="s">
        <v>19</v>
      </c>
      <c r="BO1" s="82" t="s">
        <v>20</v>
      </c>
      <c r="BP1" s="83" t="s">
        <v>35</v>
      </c>
      <c r="BQ1" s="81" t="s">
        <v>36</v>
      </c>
      <c r="BR1" s="82" t="s">
        <v>18</v>
      </c>
      <c r="BS1" s="82" t="s">
        <v>19</v>
      </c>
      <c r="BT1" s="82" t="s">
        <v>20</v>
      </c>
      <c r="BU1" s="83" t="s">
        <v>37</v>
      </c>
      <c r="BV1" s="81" t="s">
        <v>38</v>
      </c>
      <c r="BW1" s="82" t="s">
        <v>18</v>
      </c>
      <c r="BX1" s="82" t="s">
        <v>19</v>
      </c>
      <c r="BY1" s="82" t="s">
        <v>20</v>
      </c>
      <c r="BZ1" s="83" t="s">
        <v>39</v>
      </c>
      <c r="CA1" s="81" t="s">
        <v>40</v>
      </c>
      <c r="CB1" s="82" t="s">
        <v>18</v>
      </c>
      <c r="CC1" s="82" t="s">
        <v>19</v>
      </c>
      <c r="CD1" s="82" t="s">
        <v>20</v>
      </c>
      <c r="CE1" s="83" t="s">
        <v>41</v>
      </c>
      <c r="CF1" s="81" t="s">
        <v>42</v>
      </c>
      <c r="CG1" s="82" t="s">
        <v>18</v>
      </c>
      <c r="CH1" s="82" t="s">
        <v>19</v>
      </c>
      <c r="CI1" s="82" t="s">
        <v>20</v>
      </c>
      <c r="CJ1" s="83" t="s">
        <v>43</v>
      </c>
      <c r="CK1" s="81" t="s">
        <v>44</v>
      </c>
      <c r="CL1" s="82" t="s">
        <v>18</v>
      </c>
      <c r="CM1" s="82" t="s">
        <v>19</v>
      </c>
      <c r="CN1" s="82" t="s">
        <v>20</v>
      </c>
      <c r="CO1" s="83" t="s">
        <v>45</v>
      </c>
      <c r="CP1" s="81" t="s">
        <v>46</v>
      </c>
      <c r="CQ1" s="82" t="s">
        <v>18</v>
      </c>
      <c r="CR1" s="82" t="s">
        <v>19</v>
      </c>
      <c r="CS1" s="82" t="s">
        <v>20</v>
      </c>
      <c r="CT1" s="83" t="s">
        <v>47</v>
      </c>
      <c r="CU1" s="81" t="s">
        <v>48</v>
      </c>
      <c r="CV1" s="82" t="s">
        <v>18</v>
      </c>
      <c r="CW1" s="82" t="s">
        <v>19</v>
      </c>
      <c r="CX1" s="82" t="s">
        <v>20</v>
      </c>
      <c r="CY1" s="83" t="s">
        <v>49</v>
      </c>
      <c r="CZ1" s="81" t="s">
        <v>50</v>
      </c>
      <c r="DA1" s="82" t="s">
        <v>18</v>
      </c>
      <c r="DB1" s="82" t="s">
        <v>19</v>
      </c>
      <c r="DC1" s="82" t="s">
        <v>20</v>
      </c>
      <c r="DD1" s="83" t="s">
        <v>51</v>
      </c>
      <c r="DE1" s="81" t="s">
        <v>52</v>
      </c>
      <c r="DF1" s="82" t="s">
        <v>18</v>
      </c>
      <c r="DG1" s="82" t="s">
        <v>19</v>
      </c>
      <c r="DH1" s="82" t="s">
        <v>20</v>
      </c>
      <c r="DI1" s="83" t="s">
        <v>53</v>
      </c>
      <c r="DJ1" s="81" t="s">
        <v>54</v>
      </c>
      <c r="DK1" s="82" t="s">
        <v>18</v>
      </c>
      <c r="DL1" s="82" t="s">
        <v>19</v>
      </c>
      <c r="DM1" s="82" t="s">
        <v>20</v>
      </c>
      <c r="DN1" s="83" t="s">
        <v>55</v>
      </c>
      <c r="DO1" s="81" t="s">
        <v>56</v>
      </c>
      <c r="DP1" s="82" t="s">
        <v>18</v>
      </c>
      <c r="DQ1" s="82" t="s">
        <v>19</v>
      </c>
      <c r="DR1" s="82" t="s">
        <v>20</v>
      </c>
      <c r="DS1" s="83" t="s">
        <v>57</v>
      </c>
      <c r="DT1" s="78" t="s">
        <v>58</v>
      </c>
      <c r="DU1" s="79" t="s">
        <v>18</v>
      </c>
      <c r="DV1" s="79" t="s">
        <v>19</v>
      </c>
      <c r="DW1" s="79" t="s">
        <v>20</v>
      </c>
      <c r="DX1" s="140" t="s">
        <v>59</v>
      </c>
      <c r="DY1" s="78" t="s">
        <v>436</v>
      </c>
      <c r="DZ1" s="79" t="s">
        <v>18</v>
      </c>
      <c r="EA1" s="79" t="s">
        <v>19</v>
      </c>
      <c r="EB1" s="79" t="s">
        <v>20</v>
      </c>
      <c r="EC1" s="140" t="s">
        <v>437</v>
      </c>
      <c r="ED1" s="78" t="s">
        <v>438</v>
      </c>
      <c r="EE1" s="79" t="s">
        <v>18</v>
      </c>
      <c r="EF1" s="79" t="s">
        <v>19</v>
      </c>
      <c r="EG1" s="79" t="s">
        <v>20</v>
      </c>
      <c r="EH1" s="140" t="s">
        <v>439</v>
      </c>
      <c r="EI1" s="124" t="s">
        <v>351</v>
      </c>
      <c r="EJ1" s="125" t="s">
        <v>560</v>
      </c>
      <c r="EK1" s="80"/>
    </row>
    <row r="2" spans="1:141" ht="15" customHeight="1" x14ac:dyDescent="0.2">
      <c r="A2" s="334" t="s">
        <v>61</v>
      </c>
      <c r="B2" s="337" t="s">
        <v>62</v>
      </c>
      <c r="C2" s="338">
        <v>43541</v>
      </c>
      <c r="D2" s="330" t="s">
        <v>62</v>
      </c>
      <c r="E2" s="219" t="s">
        <v>335</v>
      </c>
      <c r="F2" s="220" t="s">
        <v>564</v>
      </c>
      <c r="G2" s="221">
        <v>0.67361111111111116</v>
      </c>
      <c r="H2" s="221">
        <v>0.25694444444444448</v>
      </c>
      <c r="I2" s="222">
        <v>5.3029999999999999</v>
      </c>
      <c r="J2" s="223">
        <v>58</v>
      </c>
      <c r="K2" s="230" t="s">
        <v>531</v>
      </c>
      <c r="L2" s="228">
        <v>9.736689814814815E-4</v>
      </c>
      <c r="M2" s="240">
        <v>2004</v>
      </c>
      <c r="N2" s="599">
        <v>2018</v>
      </c>
      <c r="O2" s="604" t="s">
        <v>66</v>
      </c>
      <c r="P2" s="246" t="s">
        <v>328</v>
      </c>
      <c r="Q2" s="605">
        <v>9.3939814814814808E-4</v>
      </c>
      <c r="R2" s="602" t="s">
        <v>67</v>
      </c>
      <c r="S2" s="246" t="s">
        <v>64</v>
      </c>
      <c r="T2" s="246" t="s">
        <v>66</v>
      </c>
      <c r="U2" s="246" t="s">
        <v>328</v>
      </c>
      <c r="V2" s="246" t="s">
        <v>63</v>
      </c>
      <c r="W2" s="247" t="s">
        <v>64</v>
      </c>
      <c r="X2" s="252" t="str">
        <f>Blad2!B5</f>
        <v>L. Hamilton</v>
      </c>
      <c r="Y2" s="253">
        <f>Blad2!C5</f>
        <v>9.3155092592592584E-4</v>
      </c>
      <c r="Z2" s="249" t="s">
        <v>350</v>
      </c>
      <c r="AA2" s="142">
        <v>57</v>
      </c>
      <c r="AB2" s="161">
        <v>9.9050925925925912E-4</v>
      </c>
      <c r="AC2" s="164" t="s">
        <v>350</v>
      </c>
      <c r="AD2" s="235"/>
      <c r="AE2" s="235" t="s">
        <v>73</v>
      </c>
      <c r="AF2" s="235">
        <f>HLOOKUP(AC2,startgrid,2,0)</f>
        <v>2</v>
      </c>
      <c r="AG2" s="165">
        <v>5.9344039351851847E-2</v>
      </c>
      <c r="AH2" s="164" t="s">
        <v>66</v>
      </c>
      <c r="AI2" s="235"/>
      <c r="AJ2" s="235" t="s">
        <v>73</v>
      </c>
      <c r="AK2" s="235">
        <f>HLOOKUP(AH2,startgrid,2,0)</f>
        <v>1</v>
      </c>
      <c r="AL2" s="654" t="s">
        <v>610</v>
      </c>
      <c r="AM2" s="164" t="s">
        <v>390</v>
      </c>
      <c r="AN2" s="235"/>
      <c r="AO2" s="235" t="s">
        <v>73</v>
      </c>
      <c r="AP2" s="235">
        <f>HLOOKUP(AM2,startgrid,2,0)</f>
        <v>4</v>
      </c>
      <c r="AQ2" s="657" t="s">
        <v>611</v>
      </c>
      <c r="AR2" s="164" t="s">
        <v>67</v>
      </c>
      <c r="AS2" s="235"/>
      <c r="AT2" s="235" t="s">
        <v>73</v>
      </c>
      <c r="AU2" s="235">
        <f>HLOOKUP(AR2,startgrid,2,0)</f>
        <v>3</v>
      </c>
      <c r="AV2" s="657" t="s">
        <v>612</v>
      </c>
      <c r="AW2" s="164" t="s">
        <v>500</v>
      </c>
      <c r="AX2" s="235"/>
      <c r="AY2" s="235" t="s">
        <v>73</v>
      </c>
      <c r="AZ2" s="235">
        <f>HLOOKUP(AW2,startgrid,2,0)</f>
        <v>5</v>
      </c>
      <c r="BA2" s="657" t="s">
        <v>613</v>
      </c>
      <c r="BB2" s="164" t="s">
        <v>369</v>
      </c>
      <c r="BC2" s="235"/>
      <c r="BD2" s="235" t="s">
        <v>73</v>
      </c>
      <c r="BE2" s="235">
        <f>HLOOKUP(BB2,startgrid,2,0)</f>
        <v>7</v>
      </c>
      <c r="BF2" s="657" t="s">
        <v>614</v>
      </c>
      <c r="BG2" s="164" t="s">
        <v>329</v>
      </c>
      <c r="BH2" s="235"/>
      <c r="BI2" s="235" t="s">
        <v>73</v>
      </c>
      <c r="BJ2" s="235">
        <f>HLOOKUP(BG2,startgrid,2,0)</f>
        <v>11</v>
      </c>
      <c r="BK2" s="657" t="s">
        <v>615</v>
      </c>
      <c r="BL2" s="164" t="s">
        <v>63</v>
      </c>
      <c r="BM2" s="235"/>
      <c r="BN2" s="235" t="s">
        <v>73</v>
      </c>
      <c r="BO2" s="235">
        <f>HLOOKUP(BL2,startgrid,2,0)</f>
        <v>9</v>
      </c>
      <c r="BP2" s="657" t="s">
        <v>615</v>
      </c>
      <c r="BQ2" s="164" t="s">
        <v>481</v>
      </c>
      <c r="BR2" s="235"/>
      <c r="BS2" s="235" t="s">
        <v>73</v>
      </c>
      <c r="BT2" s="235">
        <f>HLOOKUP(BQ2,startgrid,2,0)</f>
        <v>16</v>
      </c>
      <c r="BU2" s="657" t="s">
        <v>615</v>
      </c>
      <c r="BV2" s="164" t="s">
        <v>365</v>
      </c>
      <c r="BW2" s="235"/>
      <c r="BX2" s="235" t="s">
        <v>73</v>
      </c>
      <c r="BY2" s="235">
        <f>HLOOKUP(BV2,startgrid,2,0)</f>
        <v>15</v>
      </c>
      <c r="BZ2" s="657" t="s">
        <v>615</v>
      </c>
      <c r="CA2" s="164" t="s">
        <v>496</v>
      </c>
      <c r="CB2" s="235"/>
      <c r="CC2" s="235" t="s">
        <v>73</v>
      </c>
      <c r="CD2" s="235">
        <f>HLOOKUP(CA2,startgrid,2,0)</f>
        <v>17</v>
      </c>
      <c r="CE2" s="657" t="s">
        <v>615</v>
      </c>
      <c r="CF2" s="164" t="s">
        <v>529</v>
      </c>
      <c r="CG2" s="235"/>
      <c r="CH2" s="235" t="s">
        <v>73</v>
      </c>
      <c r="CI2" s="235">
        <f>HLOOKUP(CF2,startgrid,2,0)</f>
        <v>8</v>
      </c>
      <c r="CJ2" s="657" t="s">
        <v>615</v>
      </c>
      <c r="CK2" s="164" t="s">
        <v>347</v>
      </c>
      <c r="CL2" s="235"/>
      <c r="CM2" s="235" t="s">
        <v>73</v>
      </c>
      <c r="CN2" s="235">
        <f>HLOOKUP(CK2,startgrid,2,0)</f>
        <v>10</v>
      </c>
      <c r="CO2" s="657" t="s">
        <v>615</v>
      </c>
      <c r="CP2" s="164" t="s">
        <v>542</v>
      </c>
      <c r="CQ2" s="235"/>
      <c r="CR2" s="235" t="s">
        <v>73</v>
      </c>
      <c r="CS2" s="235">
        <f>HLOOKUP(CP2,startgrid,2,0)</f>
        <v>13</v>
      </c>
      <c r="CT2" s="657" t="s">
        <v>615</v>
      </c>
      <c r="CU2" s="164" t="s">
        <v>497</v>
      </c>
      <c r="CV2" s="235"/>
      <c r="CW2" s="235" t="s">
        <v>73</v>
      </c>
      <c r="CX2" s="235">
        <f>HLOOKUP(CU2,startgrid,2,0)</f>
        <v>14</v>
      </c>
      <c r="CY2" s="657" t="s">
        <v>615</v>
      </c>
      <c r="CZ2" s="164" t="s">
        <v>549</v>
      </c>
      <c r="DA2" s="235"/>
      <c r="DB2" s="235" t="s">
        <v>73</v>
      </c>
      <c r="DC2" s="235">
        <f>HLOOKUP(CZ2,startgrid,2,0)</f>
        <v>19</v>
      </c>
      <c r="DD2" s="657" t="s">
        <v>616</v>
      </c>
      <c r="DE2" s="164" t="s">
        <v>528</v>
      </c>
      <c r="DF2" s="235"/>
      <c r="DG2" s="235" t="s">
        <v>73</v>
      </c>
      <c r="DH2" s="235">
        <f>HLOOKUP(DE2,startgrid,2,0)</f>
        <v>20</v>
      </c>
      <c r="DI2" s="657" t="s">
        <v>617</v>
      </c>
      <c r="DJ2" s="164" t="s">
        <v>349</v>
      </c>
      <c r="DK2" s="235"/>
      <c r="DL2" s="235" t="s">
        <v>73</v>
      </c>
      <c r="DM2" s="235">
        <f>HLOOKUP(DJ2,startgrid,2,0)</f>
        <v>6</v>
      </c>
      <c r="DN2" s="657" t="s">
        <v>282</v>
      </c>
      <c r="DO2" s="164" t="s">
        <v>348</v>
      </c>
      <c r="DP2" s="235"/>
      <c r="DQ2" s="235" t="s">
        <v>73</v>
      </c>
      <c r="DR2" s="235">
        <f>HLOOKUP(DO2,startgrid,2,0)</f>
        <v>12</v>
      </c>
      <c r="DS2" s="657" t="s">
        <v>282</v>
      </c>
      <c r="DT2" s="164" t="s">
        <v>418</v>
      </c>
      <c r="DU2" s="235"/>
      <c r="DV2" s="235" t="s">
        <v>73</v>
      </c>
      <c r="DW2" s="235">
        <f>HLOOKUP(DT2,startgrid,2,0)</f>
        <v>18</v>
      </c>
      <c r="DX2" s="657" t="s">
        <v>282</v>
      </c>
      <c r="DY2" s="164" t="s">
        <v>73</v>
      </c>
      <c r="DZ2" s="141"/>
      <c r="EA2" s="141" t="s">
        <v>73</v>
      </c>
      <c r="EB2" s="141" t="str">
        <f>HLOOKUP(DY2,startgrid,2,0)</f>
        <v>…</v>
      </c>
      <c r="EC2" s="165" t="s">
        <v>73</v>
      </c>
      <c r="ED2" s="164" t="s">
        <v>73</v>
      </c>
      <c r="EE2" s="141"/>
      <c r="EF2" s="141" t="s">
        <v>73</v>
      </c>
      <c r="EG2" s="141" t="str">
        <f>HLOOKUP(ED2,startgrid,2,0)</f>
        <v>…</v>
      </c>
      <c r="EH2" s="165" t="s">
        <v>73</v>
      </c>
      <c r="EI2" s="144">
        <f>Blad2!AT5</f>
        <v>1.0157175925925926E-3</v>
      </c>
      <c r="EJ2" s="587">
        <f>IF(Z2="…",0,(IF(Z2=AC2,1)+IF(Z2=AH2,1)+IF(Z2=AM2,1)+IF(Z2=AR2,1)+IF(Z2=AW2,1)+IF(Z2=BB2,1)+IF(Z2=BG2,1)+IF(Z2=BL2,1)+IF(Z2=BQ2,1)+IF(Z2=BV2,1)))</f>
        <v>1</v>
      </c>
      <c r="EK2" s="123"/>
    </row>
    <row r="3" spans="1:141" ht="15" customHeight="1" x14ac:dyDescent="0.2">
      <c r="A3" s="335" t="s">
        <v>68</v>
      </c>
      <c r="B3" s="339" t="s">
        <v>353</v>
      </c>
      <c r="C3" s="340">
        <v>43555</v>
      </c>
      <c r="D3" s="331" t="s">
        <v>353</v>
      </c>
      <c r="E3" s="157" t="s">
        <v>355</v>
      </c>
      <c r="F3" s="215" t="s">
        <v>446</v>
      </c>
      <c r="G3" s="216">
        <v>0.75694444444444453</v>
      </c>
      <c r="H3" s="216">
        <v>0.71527777777777779</v>
      </c>
      <c r="I3" s="217">
        <v>5.4119999999999999</v>
      </c>
      <c r="J3" s="224">
        <v>57</v>
      </c>
      <c r="K3" s="231" t="s">
        <v>530</v>
      </c>
      <c r="L3" s="227">
        <v>1.0584143518518518E-3</v>
      </c>
      <c r="M3" s="241">
        <v>2005</v>
      </c>
      <c r="N3" s="600">
        <v>2018</v>
      </c>
      <c r="O3" s="606" t="s">
        <v>67</v>
      </c>
      <c r="P3" s="245" t="s">
        <v>64</v>
      </c>
      <c r="Q3" s="607">
        <v>1.0180324074074074E-3</v>
      </c>
      <c r="R3" s="603" t="s">
        <v>67</v>
      </c>
      <c r="S3" s="245" t="s">
        <v>64</v>
      </c>
      <c r="T3" s="245" t="s">
        <v>350</v>
      </c>
      <c r="U3" s="245" t="s">
        <v>328</v>
      </c>
      <c r="V3" s="245" t="s">
        <v>66</v>
      </c>
      <c r="W3" s="248" t="s">
        <v>328</v>
      </c>
      <c r="X3" s="254" t="str">
        <f>Blad2!B9</f>
        <v>C. Leclerc</v>
      </c>
      <c r="Y3" s="255">
        <f>Blad2!C9</f>
        <v>1.0169675925925925E-3</v>
      </c>
      <c r="Z3" s="250" t="s">
        <v>500</v>
      </c>
      <c r="AA3" s="139">
        <v>38</v>
      </c>
      <c r="AB3" s="162">
        <v>1.0811458333333335E-3</v>
      </c>
      <c r="AC3" s="166" t="s">
        <v>66</v>
      </c>
      <c r="AD3" s="233"/>
      <c r="AE3" s="233" t="s">
        <v>73</v>
      </c>
      <c r="AF3" s="233">
        <f>HLOOKUP(AC3,startgrid,3,0)</f>
        <v>3</v>
      </c>
      <c r="AG3" s="167">
        <v>6.552424768518518E-2</v>
      </c>
      <c r="AH3" s="166" t="s">
        <v>350</v>
      </c>
      <c r="AI3" s="233"/>
      <c r="AJ3" s="233" t="s">
        <v>73</v>
      </c>
      <c r="AK3" s="233">
        <f>HLOOKUP(AH3,startgrid,3,0)</f>
        <v>4</v>
      </c>
      <c r="AL3" s="655" t="s">
        <v>619</v>
      </c>
      <c r="AM3" s="166" t="s">
        <v>500</v>
      </c>
      <c r="AN3" s="233"/>
      <c r="AO3" s="233" t="s">
        <v>73</v>
      </c>
      <c r="AP3" s="233">
        <f>HLOOKUP(AM3,startgrid,3,0)</f>
        <v>1</v>
      </c>
      <c r="AQ3" s="655" t="s">
        <v>620</v>
      </c>
      <c r="AR3" s="166" t="s">
        <v>390</v>
      </c>
      <c r="AS3" s="233"/>
      <c r="AT3" s="233" t="s">
        <v>73</v>
      </c>
      <c r="AU3" s="233">
        <f>HLOOKUP(AR3,startgrid,3,0)</f>
        <v>5</v>
      </c>
      <c r="AV3" s="655" t="s">
        <v>621</v>
      </c>
      <c r="AW3" s="166" t="s">
        <v>67</v>
      </c>
      <c r="AX3" s="233"/>
      <c r="AY3" s="233" t="s">
        <v>73</v>
      </c>
      <c r="AZ3" s="233">
        <f>HLOOKUP(AW3,startgrid,3,0)</f>
        <v>2</v>
      </c>
      <c r="BA3" s="655" t="s">
        <v>622</v>
      </c>
      <c r="BB3" s="166" t="s">
        <v>529</v>
      </c>
      <c r="BC3" s="233"/>
      <c r="BD3" s="233" t="s">
        <v>73</v>
      </c>
      <c r="BE3" s="233">
        <f>HLOOKUP(BB3,startgrid,3,0)</f>
        <v>9</v>
      </c>
      <c r="BF3" s="655" t="s">
        <v>623</v>
      </c>
      <c r="BG3" s="166" t="s">
        <v>63</v>
      </c>
      <c r="BH3" s="233"/>
      <c r="BI3" s="233" t="s">
        <v>73</v>
      </c>
      <c r="BJ3" s="233">
        <f>HLOOKUP(BG3,startgrid,3,0)</f>
        <v>8</v>
      </c>
      <c r="BK3" s="655" t="s">
        <v>624</v>
      </c>
      <c r="BL3" s="166" t="s">
        <v>496</v>
      </c>
      <c r="BM3" s="233"/>
      <c r="BN3" s="233" t="s">
        <v>73</v>
      </c>
      <c r="BO3" s="233">
        <f>HLOOKUP(BL3,startgrid,3,0)</f>
        <v>13</v>
      </c>
      <c r="BP3" s="655" t="s">
        <v>625</v>
      </c>
      <c r="BQ3" s="166" t="s">
        <v>542</v>
      </c>
      <c r="BR3" s="233"/>
      <c r="BS3" s="233" t="s">
        <v>73</v>
      </c>
      <c r="BT3" s="233">
        <f>HLOOKUP(BQ3,startgrid,3,0)</f>
        <v>12</v>
      </c>
      <c r="BU3" s="655" t="s">
        <v>626</v>
      </c>
      <c r="BV3" s="166" t="s">
        <v>347</v>
      </c>
      <c r="BW3" s="233"/>
      <c r="BX3" s="233" t="s">
        <v>73</v>
      </c>
      <c r="BY3" s="233">
        <f>HLOOKUP(BV3,startgrid,3,0)</f>
        <v>14</v>
      </c>
      <c r="BZ3" s="655" t="s">
        <v>627</v>
      </c>
      <c r="CA3" s="166" t="s">
        <v>497</v>
      </c>
      <c r="CB3" s="233"/>
      <c r="CC3" s="233" t="s">
        <v>73</v>
      </c>
      <c r="CD3" s="233">
        <f>HLOOKUP(CA3,startgrid,3,0)</f>
        <v>16</v>
      </c>
      <c r="CE3" s="655" t="s">
        <v>628</v>
      </c>
      <c r="CF3" s="166" t="s">
        <v>365</v>
      </c>
      <c r="CG3" s="233"/>
      <c r="CH3" s="233" t="s">
        <v>73</v>
      </c>
      <c r="CI3" s="233">
        <f>HLOOKUP(CF3,startgrid,3,0)</f>
        <v>15</v>
      </c>
      <c r="CJ3" s="655" t="s">
        <v>615</v>
      </c>
      <c r="CK3" s="166" t="s">
        <v>369</v>
      </c>
      <c r="CL3" s="233"/>
      <c r="CM3" s="233" t="s">
        <v>73</v>
      </c>
      <c r="CN3" s="233">
        <f>HLOOKUP(CK3,startgrid,3,0)</f>
        <v>6</v>
      </c>
      <c r="CO3" s="655" t="s">
        <v>615</v>
      </c>
      <c r="CP3" s="166" t="s">
        <v>481</v>
      </c>
      <c r="CQ3" s="233"/>
      <c r="CR3" s="233" t="s">
        <v>73</v>
      </c>
      <c r="CS3" s="233">
        <f>HLOOKUP(CP3,startgrid,3,0)</f>
        <v>18</v>
      </c>
      <c r="CT3" s="655" t="s">
        <v>615</v>
      </c>
      <c r="CU3" s="166" t="s">
        <v>549</v>
      </c>
      <c r="CV3" s="233"/>
      <c r="CW3" s="233" t="s">
        <v>73</v>
      </c>
      <c r="CX3" s="233">
        <f>HLOOKUP(CU3,startgrid,3,0)</f>
        <v>19</v>
      </c>
      <c r="CY3" s="655" t="s">
        <v>615</v>
      </c>
      <c r="CZ3" s="166" t="s">
        <v>528</v>
      </c>
      <c r="DA3" s="233"/>
      <c r="DB3" s="233" t="s">
        <v>73</v>
      </c>
      <c r="DC3" s="233">
        <f>HLOOKUP(CZ3,startgrid,3,0)</f>
        <v>20</v>
      </c>
      <c r="DD3" s="655" t="s">
        <v>616</v>
      </c>
      <c r="DE3" s="166" t="s">
        <v>329</v>
      </c>
      <c r="DF3" s="233"/>
      <c r="DG3" s="233" t="s">
        <v>73</v>
      </c>
      <c r="DH3" s="233">
        <f>HLOOKUP(DE3,startgrid,3,0)</f>
        <v>17</v>
      </c>
      <c r="DI3" s="655" t="s">
        <v>282</v>
      </c>
      <c r="DJ3" s="166" t="s">
        <v>348</v>
      </c>
      <c r="DK3" s="233"/>
      <c r="DL3" s="233" t="s">
        <v>73</v>
      </c>
      <c r="DM3" s="233">
        <f>HLOOKUP(DJ3,startgrid,3,0)</f>
        <v>10</v>
      </c>
      <c r="DN3" s="655" t="s">
        <v>282</v>
      </c>
      <c r="DO3" s="166" t="s">
        <v>418</v>
      </c>
      <c r="DP3" s="233"/>
      <c r="DQ3" s="233" t="s">
        <v>73</v>
      </c>
      <c r="DR3" s="233">
        <f>HLOOKUP(DO3,startgrid,3,0)</f>
        <v>7</v>
      </c>
      <c r="DS3" s="655" t="s">
        <v>282</v>
      </c>
      <c r="DT3" s="166" t="s">
        <v>349</v>
      </c>
      <c r="DU3" s="233"/>
      <c r="DV3" s="233" t="s">
        <v>73</v>
      </c>
      <c r="DW3" s="233">
        <f>HLOOKUP(DT3,startgrid,3,0)</f>
        <v>11</v>
      </c>
      <c r="DX3" s="655" t="s">
        <v>282</v>
      </c>
      <c r="DY3" s="166" t="s">
        <v>73</v>
      </c>
      <c r="DZ3" s="170"/>
      <c r="EA3" s="170" t="s">
        <v>73</v>
      </c>
      <c r="EB3" s="170" t="str">
        <f>HLOOKUP(DY3,startgrid,3,0)</f>
        <v>…</v>
      </c>
      <c r="EC3" s="167" t="s">
        <v>73</v>
      </c>
      <c r="ED3" s="166" t="s">
        <v>73</v>
      </c>
      <c r="EE3" s="170"/>
      <c r="EF3" s="170" t="s">
        <v>73</v>
      </c>
      <c r="EG3" s="170" t="str">
        <f>HLOOKUP(ED3,startgrid,3,0)</f>
        <v>…</v>
      </c>
      <c r="EH3" s="167" t="s">
        <v>73</v>
      </c>
      <c r="EI3" s="145">
        <f>Blad2!AT9</f>
        <v>1.0959374999999999E-3</v>
      </c>
      <c r="EJ3" s="588">
        <f>IF(Z3="…",0,(IF(Z3=AC3,1)+IF(Z3=AH3,1)+IF(Z3=AM3,1)+IF(Z3=AR3,1)+IF(Z3=AW3,1)+IF(Z3=BB3,1)+IF(Z3=BG3,1)+IF(Z3=BL3,1)+IF(Z3=BQ3,1)+IF(Z3=BV3,1)))</f>
        <v>1</v>
      </c>
      <c r="EK3" s="122"/>
    </row>
    <row r="4" spans="1:141" ht="15" customHeight="1" x14ac:dyDescent="0.2">
      <c r="A4" s="335" t="s">
        <v>69</v>
      </c>
      <c r="B4" s="339" t="s">
        <v>94</v>
      </c>
      <c r="C4" s="340">
        <v>43569</v>
      </c>
      <c r="D4" s="331" t="s">
        <v>94</v>
      </c>
      <c r="E4" s="157" t="s">
        <v>336</v>
      </c>
      <c r="F4" s="215" t="s">
        <v>447</v>
      </c>
      <c r="G4" s="216">
        <v>0.59027777777777779</v>
      </c>
      <c r="H4" s="216">
        <v>0.34027777777777773</v>
      </c>
      <c r="I4" s="217">
        <v>5.4509999999999996</v>
      </c>
      <c r="J4" s="224">
        <v>56</v>
      </c>
      <c r="K4" s="231" t="s">
        <v>531</v>
      </c>
      <c r="L4" s="227">
        <v>1.0675694444444446E-3</v>
      </c>
      <c r="M4" s="241">
        <v>2004</v>
      </c>
      <c r="N4" s="600">
        <v>2018</v>
      </c>
      <c r="O4" s="606" t="s">
        <v>67</v>
      </c>
      <c r="P4" s="245" t="s">
        <v>64</v>
      </c>
      <c r="Q4" s="607">
        <v>1.054340277777778E-3</v>
      </c>
      <c r="R4" s="603" t="s">
        <v>348</v>
      </c>
      <c r="S4" s="245" t="s">
        <v>401</v>
      </c>
      <c r="T4" s="245" t="s">
        <v>350</v>
      </c>
      <c r="U4" s="245" t="s">
        <v>328</v>
      </c>
      <c r="V4" s="245" t="s">
        <v>63</v>
      </c>
      <c r="W4" s="248" t="s">
        <v>64</v>
      </c>
      <c r="X4" s="254" t="str">
        <f>Blad2!B13</f>
        <v>V. Bottas</v>
      </c>
      <c r="Y4" s="255">
        <f>Blad2!C13</f>
        <v>4.3234606481481483E-3</v>
      </c>
      <c r="Z4" s="250" t="s">
        <v>496</v>
      </c>
      <c r="AA4" s="139">
        <v>55</v>
      </c>
      <c r="AB4" s="162">
        <v>1.0965509259259259E-3</v>
      </c>
      <c r="AC4" s="166" t="s">
        <v>66</v>
      </c>
      <c r="AD4" s="233"/>
      <c r="AE4" s="233" t="s">
        <v>73</v>
      </c>
      <c r="AF4" s="233">
        <f>HLOOKUP(AC4,startgrid,4,0)</f>
        <v>2</v>
      </c>
      <c r="AG4" s="167">
        <v>6.3962384259259264E-2</v>
      </c>
      <c r="AH4" s="166" t="s">
        <v>350</v>
      </c>
      <c r="AI4" s="233"/>
      <c r="AJ4" s="233" t="s">
        <v>73</v>
      </c>
      <c r="AK4" s="233">
        <f>HLOOKUP(AH4,startgrid,4,0)</f>
        <v>1</v>
      </c>
      <c r="AL4" s="655" t="s">
        <v>629</v>
      </c>
      <c r="AM4" s="166" t="s">
        <v>67</v>
      </c>
      <c r="AN4" s="233"/>
      <c r="AO4" s="233" t="s">
        <v>73</v>
      </c>
      <c r="AP4" s="233">
        <f>HLOOKUP(AM4,startgrid,4,0)</f>
        <v>3</v>
      </c>
      <c r="AQ4" s="655" t="s">
        <v>630</v>
      </c>
      <c r="AR4" s="166" t="s">
        <v>390</v>
      </c>
      <c r="AS4" s="233"/>
      <c r="AT4" s="233" t="s">
        <v>73</v>
      </c>
      <c r="AU4" s="233">
        <f>HLOOKUP(AR4,startgrid,4,0)</f>
        <v>5</v>
      </c>
      <c r="AV4" s="655" t="s">
        <v>631</v>
      </c>
      <c r="AW4" s="166" t="s">
        <v>500</v>
      </c>
      <c r="AX4" s="233"/>
      <c r="AY4" s="233" t="s">
        <v>73</v>
      </c>
      <c r="AZ4" s="233">
        <f>HLOOKUP(AW4,startgrid,4,0)</f>
        <v>4</v>
      </c>
      <c r="BA4" s="655" t="s">
        <v>632</v>
      </c>
      <c r="BB4" s="166" t="s">
        <v>496</v>
      </c>
      <c r="BC4" s="233"/>
      <c r="BD4" s="233" t="s">
        <v>73</v>
      </c>
      <c r="BE4" s="233">
        <f>HLOOKUP(BB4,startgrid,4,0)</f>
        <v>6</v>
      </c>
      <c r="BF4" s="655" t="s">
        <v>633</v>
      </c>
      <c r="BG4" s="166" t="s">
        <v>348</v>
      </c>
      <c r="BH4" s="233"/>
      <c r="BI4" s="233" t="s">
        <v>73</v>
      </c>
      <c r="BJ4" s="233">
        <f>HLOOKUP(BG4,startgrid,4,0)</f>
        <v>7</v>
      </c>
      <c r="BK4" s="655" t="s">
        <v>615</v>
      </c>
      <c r="BL4" s="166" t="s">
        <v>347</v>
      </c>
      <c r="BM4" s="233"/>
      <c r="BN4" s="233" t="s">
        <v>73</v>
      </c>
      <c r="BO4" s="233">
        <f>HLOOKUP(BL4,startgrid,4,0)</f>
        <v>12</v>
      </c>
      <c r="BP4" s="655" t="s">
        <v>615</v>
      </c>
      <c r="BQ4" s="166" t="s">
        <v>63</v>
      </c>
      <c r="BR4" s="233"/>
      <c r="BS4" s="233" t="s">
        <v>73</v>
      </c>
      <c r="BT4" s="233">
        <f>HLOOKUP(BQ4,startgrid,4,0)</f>
        <v>13</v>
      </c>
      <c r="BU4" s="655" t="s">
        <v>615</v>
      </c>
      <c r="BV4" s="166" t="s">
        <v>542</v>
      </c>
      <c r="BW4" s="233"/>
      <c r="BX4" s="233" t="s">
        <v>73</v>
      </c>
      <c r="BY4" s="233">
        <f>HLOOKUP(BV4,startgrid,4,0)</f>
        <v>20</v>
      </c>
      <c r="BZ4" s="655" t="s">
        <v>615</v>
      </c>
      <c r="CA4" s="166" t="s">
        <v>349</v>
      </c>
      <c r="CB4" s="233"/>
      <c r="CC4" s="233" t="s">
        <v>73</v>
      </c>
      <c r="CD4" s="233">
        <f>HLOOKUP(CA4,startgrid,4,0)</f>
        <v>10</v>
      </c>
      <c r="CE4" s="655" t="s">
        <v>615</v>
      </c>
      <c r="CF4" s="166" t="s">
        <v>481</v>
      </c>
      <c r="CG4" s="233"/>
      <c r="CH4" s="233" t="s">
        <v>73</v>
      </c>
      <c r="CI4" s="233">
        <f>HLOOKUP(CF4,startgrid,4,0)</f>
        <v>16</v>
      </c>
      <c r="CJ4" s="655" t="s">
        <v>615</v>
      </c>
      <c r="CK4" s="166" t="s">
        <v>369</v>
      </c>
      <c r="CL4" s="233"/>
      <c r="CM4" s="233" t="s">
        <v>73</v>
      </c>
      <c r="CN4" s="233">
        <f>HLOOKUP(CK4,startgrid,4,0)</f>
        <v>9</v>
      </c>
      <c r="CO4" s="655" t="s">
        <v>615</v>
      </c>
      <c r="CP4" s="166" t="s">
        <v>418</v>
      </c>
      <c r="CQ4" s="233"/>
      <c r="CR4" s="233" t="s">
        <v>73</v>
      </c>
      <c r="CS4" s="233">
        <f>HLOOKUP(CP4,startgrid,4,0)</f>
        <v>14</v>
      </c>
      <c r="CT4" s="655" t="s">
        <v>615</v>
      </c>
      <c r="CU4" s="166" t="s">
        <v>497</v>
      </c>
      <c r="CV4" s="233"/>
      <c r="CW4" s="233" t="s">
        <v>73</v>
      </c>
      <c r="CX4" s="233">
        <f>HLOOKUP(CU4,startgrid,4,0)</f>
        <v>19</v>
      </c>
      <c r="CY4" s="655" t="s">
        <v>615</v>
      </c>
      <c r="CZ4" s="166" t="s">
        <v>549</v>
      </c>
      <c r="DA4" s="233"/>
      <c r="DB4" s="233" t="s">
        <v>73</v>
      </c>
      <c r="DC4" s="233">
        <f>HLOOKUP(CZ4,startgrid,4,0)</f>
        <v>17</v>
      </c>
      <c r="DD4" s="655" t="s">
        <v>616</v>
      </c>
      <c r="DE4" s="166" t="s">
        <v>528</v>
      </c>
      <c r="DF4" s="233"/>
      <c r="DG4" s="233" t="s">
        <v>73</v>
      </c>
      <c r="DH4" s="233">
        <f>HLOOKUP(DE4,startgrid,4,0)</f>
        <v>18</v>
      </c>
      <c r="DI4" s="655" t="s">
        <v>616</v>
      </c>
      <c r="DJ4" s="166" t="s">
        <v>529</v>
      </c>
      <c r="DK4" s="233"/>
      <c r="DL4" s="233" t="s">
        <v>73</v>
      </c>
      <c r="DM4" s="233">
        <f>HLOOKUP(DJ4,startgrid,4,0)</f>
        <v>15</v>
      </c>
      <c r="DN4" s="655" t="s">
        <v>282</v>
      </c>
      <c r="DO4" s="166" t="s">
        <v>365</v>
      </c>
      <c r="DP4" s="233"/>
      <c r="DQ4" s="233" t="s">
        <v>73</v>
      </c>
      <c r="DR4" s="233">
        <f>HLOOKUP(DO4,startgrid,4,0)</f>
        <v>11</v>
      </c>
      <c r="DS4" s="655" t="s">
        <v>282</v>
      </c>
      <c r="DT4" s="166" t="s">
        <v>329</v>
      </c>
      <c r="DU4" s="233"/>
      <c r="DV4" s="233" t="s">
        <v>73</v>
      </c>
      <c r="DW4" s="233">
        <f>HLOOKUP(DT4,startgrid,4,0)</f>
        <v>8</v>
      </c>
      <c r="DX4" s="655" t="s">
        <v>282</v>
      </c>
      <c r="DY4" s="166" t="s">
        <v>73</v>
      </c>
      <c r="DZ4" s="170"/>
      <c r="EA4" s="170" t="s">
        <v>73</v>
      </c>
      <c r="EB4" s="170" t="str">
        <f>HLOOKUP(DY4,startgrid,4,0)</f>
        <v>…</v>
      </c>
      <c r="EC4" s="167" t="s">
        <v>73</v>
      </c>
      <c r="ED4" s="166" t="s">
        <v>73</v>
      </c>
      <c r="EE4" s="170"/>
      <c r="EF4" s="170" t="s">
        <v>73</v>
      </c>
      <c r="EG4" s="170" t="str">
        <f>HLOOKUP(ED4,startgrid,4,0)</f>
        <v>…</v>
      </c>
      <c r="EH4" s="167" t="s">
        <v>73</v>
      </c>
      <c r="EI4" s="145">
        <f>Blad2!AT13</f>
        <v>1.1475000000000001E-3</v>
      </c>
      <c r="EJ4" s="588">
        <f t="shared" ref="EJ4:EJ21" si="0">IF(Z4="…",0,(IF(Z4=AC4,1)+IF(Z4=AH4,1)+IF(Z4=AM4,1)+IF(Z4=AR4,1)+IF(Z4=AW4,1)+IF(Z4=BB4,1)+IF(Z4=BG4,1)+IF(Z4=BL4,1)+IF(Z4=BQ4,1)+IF(Z4=BV4,1)))</f>
        <v>1</v>
      </c>
      <c r="EK4" s="122"/>
    </row>
    <row r="5" spans="1:141" ht="15" customHeight="1" x14ac:dyDescent="0.2">
      <c r="A5" s="335" t="s">
        <v>70</v>
      </c>
      <c r="B5" s="339" t="s">
        <v>505</v>
      </c>
      <c r="C5" s="340">
        <v>43583</v>
      </c>
      <c r="D5" s="331" t="s">
        <v>505</v>
      </c>
      <c r="E5" s="157" t="s">
        <v>431</v>
      </c>
      <c r="F5" s="157" t="s">
        <v>449</v>
      </c>
      <c r="G5" s="216">
        <v>0.67361111111111116</v>
      </c>
      <c r="H5" s="216">
        <v>0.59027777777777779</v>
      </c>
      <c r="I5" s="217">
        <v>6.0030000000000001</v>
      </c>
      <c r="J5" s="224">
        <v>51</v>
      </c>
      <c r="K5" s="231" t="s">
        <v>67</v>
      </c>
      <c r="L5" s="227">
        <v>1.1972337962962963E-3</v>
      </c>
      <c r="M5" s="241">
        <v>2017</v>
      </c>
      <c r="N5" s="600">
        <v>2018</v>
      </c>
      <c r="O5" s="606" t="s">
        <v>67</v>
      </c>
      <c r="P5" s="245" t="s">
        <v>64</v>
      </c>
      <c r="Q5" s="607">
        <v>1.1747453703703705E-3</v>
      </c>
      <c r="R5" s="603" t="s">
        <v>66</v>
      </c>
      <c r="S5" s="245" t="s">
        <v>328</v>
      </c>
      <c r="T5" s="245" t="s">
        <v>63</v>
      </c>
      <c r="U5" s="245" t="s">
        <v>64</v>
      </c>
      <c r="V5" s="245" t="s">
        <v>565</v>
      </c>
      <c r="W5" s="248" t="s">
        <v>566</v>
      </c>
      <c r="X5" s="254" t="str">
        <f>Blad2!B17</f>
        <v>V. Bottas</v>
      </c>
      <c r="Y5" s="255">
        <f>Blad2!C17</f>
        <v>1.163136574074074E-3</v>
      </c>
      <c r="Z5" s="250" t="s">
        <v>500</v>
      </c>
      <c r="AA5" s="139">
        <v>50</v>
      </c>
      <c r="AB5" s="162">
        <v>1.1922337962962963E-3</v>
      </c>
      <c r="AC5" s="166" t="s">
        <v>350</v>
      </c>
      <c r="AD5" s="233"/>
      <c r="AE5" s="233" t="s">
        <v>73</v>
      </c>
      <c r="AF5" s="233">
        <f>HLOOKUP(AC5,startgrid,4,0)</f>
        <v>1</v>
      </c>
      <c r="AG5" s="167">
        <v>6.3807199074074075E-2</v>
      </c>
      <c r="AH5" s="166" t="s">
        <v>66</v>
      </c>
      <c r="AI5" s="233"/>
      <c r="AJ5" s="233" t="s">
        <v>73</v>
      </c>
      <c r="AK5" s="233">
        <f>HLOOKUP(AH5,startgrid,5,0)</f>
        <v>2</v>
      </c>
      <c r="AL5" s="655" t="s">
        <v>635</v>
      </c>
      <c r="AM5" s="166" t="s">
        <v>67</v>
      </c>
      <c r="AN5" s="233"/>
      <c r="AO5" s="233" t="s">
        <v>73</v>
      </c>
      <c r="AP5" s="233">
        <f>HLOOKUP(AM5,startgrid,5,0)</f>
        <v>3</v>
      </c>
      <c r="AQ5" s="655" t="s">
        <v>636</v>
      </c>
      <c r="AR5" s="166" t="s">
        <v>390</v>
      </c>
      <c r="AS5" s="233"/>
      <c r="AT5" s="233" t="s">
        <v>73</v>
      </c>
      <c r="AU5" s="233">
        <f>HLOOKUP(AR5,startgrid,5,0)</f>
        <v>4</v>
      </c>
      <c r="AV5" s="655" t="s">
        <v>637</v>
      </c>
      <c r="AW5" s="166" t="s">
        <v>500</v>
      </c>
      <c r="AX5" s="233"/>
      <c r="AY5" s="233" t="s">
        <v>73</v>
      </c>
      <c r="AZ5" s="233">
        <f>HLOOKUP(AW5,startgrid,5,0)</f>
        <v>8</v>
      </c>
      <c r="BA5" s="655" t="s">
        <v>638</v>
      </c>
      <c r="BB5" s="166" t="s">
        <v>347</v>
      </c>
      <c r="BC5" s="233"/>
      <c r="BD5" s="233" t="s">
        <v>73</v>
      </c>
      <c r="BE5" s="233">
        <f>HLOOKUP(BB5,startgrid,5,0)</f>
        <v>5</v>
      </c>
      <c r="BF5" s="655" t="s">
        <v>639</v>
      </c>
      <c r="BG5" s="166" t="s">
        <v>418</v>
      </c>
      <c r="BH5" s="233"/>
      <c r="BI5" s="233" t="s">
        <v>73</v>
      </c>
      <c r="BJ5" s="233">
        <f>HLOOKUP(BG5,startgrid,5,0)</f>
        <v>9</v>
      </c>
      <c r="BK5" s="655" t="s">
        <v>640</v>
      </c>
      <c r="BL5" s="166" t="s">
        <v>529</v>
      </c>
      <c r="BM5" s="233"/>
      <c r="BN5" s="233" t="s">
        <v>73</v>
      </c>
      <c r="BO5" s="233">
        <f>HLOOKUP(BL5,startgrid,5,0)</f>
        <v>7</v>
      </c>
      <c r="BP5" s="655" t="s">
        <v>641</v>
      </c>
      <c r="BQ5" s="166" t="s">
        <v>481</v>
      </c>
      <c r="BR5" s="233"/>
      <c r="BS5" s="233" t="s">
        <v>73</v>
      </c>
      <c r="BT5" s="233">
        <f>HLOOKUP(BQ5,startgrid,5,0)</f>
        <v>13</v>
      </c>
      <c r="BU5" s="655" t="s">
        <v>642</v>
      </c>
      <c r="BV5" s="166" t="s">
        <v>63</v>
      </c>
      <c r="BW5" s="233"/>
      <c r="BX5" s="233" t="s">
        <v>73</v>
      </c>
      <c r="BY5" s="233">
        <f>HLOOKUP(BV5,startgrid,5,0)</f>
        <v>19</v>
      </c>
      <c r="BZ5" s="655" t="s">
        <v>615</v>
      </c>
      <c r="CA5" s="166" t="s">
        <v>542</v>
      </c>
      <c r="CB5" s="233"/>
      <c r="CC5" s="233" t="s">
        <v>73</v>
      </c>
      <c r="CD5" s="233">
        <f>HLOOKUP(CA5,startgrid,5,0)</f>
        <v>11</v>
      </c>
      <c r="CE5" s="655" t="s">
        <v>615</v>
      </c>
      <c r="CF5" s="166" t="s">
        <v>497</v>
      </c>
      <c r="CG5" s="233"/>
      <c r="CH5" s="233" t="s">
        <v>73</v>
      </c>
      <c r="CI5" s="233">
        <f>HLOOKUP(CF5,startgrid,5,0)</f>
        <v>17</v>
      </c>
      <c r="CJ5" s="655" t="s">
        <v>615</v>
      </c>
      <c r="CK5" s="166" t="s">
        <v>369</v>
      </c>
      <c r="CL5" s="233"/>
      <c r="CM5" s="233" t="s">
        <v>73</v>
      </c>
      <c r="CN5" s="233">
        <f>HLOOKUP(CK5,startgrid,5,0)</f>
        <v>12</v>
      </c>
      <c r="CO5" s="655" t="s">
        <v>615</v>
      </c>
      <c r="CP5" s="166" t="s">
        <v>329</v>
      </c>
      <c r="CQ5" s="233"/>
      <c r="CR5" s="233" t="s">
        <v>73</v>
      </c>
      <c r="CS5" s="233">
        <f>HLOOKUP(CP5,startgrid,5,0)</f>
        <v>15</v>
      </c>
      <c r="CT5" s="655" t="s">
        <v>615</v>
      </c>
      <c r="CU5" s="166" t="s">
        <v>549</v>
      </c>
      <c r="CV5" s="233"/>
      <c r="CW5" s="233" t="s">
        <v>73</v>
      </c>
      <c r="CX5" s="233">
        <f>HLOOKUP(CU5,startgrid,5,0)</f>
        <v>16</v>
      </c>
      <c r="CY5" s="655" t="s">
        <v>616</v>
      </c>
      <c r="CZ5" s="166" t="s">
        <v>528</v>
      </c>
      <c r="DA5" s="233"/>
      <c r="DB5" s="233" t="s">
        <v>73</v>
      </c>
      <c r="DC5" s="233">
        <f>HLOOKUP(CZ5,startgrid,5,0)</f>
        <v>18</v>
      </c>
      <c r="DD5" s="655" t="s">
        <v>616</v>
      </c>
      <c r="DE5" s="166" t="s">
        <v>496</v>
      </c>
      <c r="DF5" s="233"/>
      <c r="DG5" s="233" t="s">
        <v>73</v>
      </c>
      <c r="DH5" s="233">
        <f>HLOOKUP(DE5,startgrid,5,0)</f>
        <v>20</v>
      </c>
      <c r="DI5" s="655" t="s">
        <v>282</v>
      </c>
      <c r="DJ5" s="166" t="s">
        <v>349</v>
      </c>
      <c r="DK5" s="233"/>
      <c r="DL5" s="233" t="s">
        <v>73</v>
      </c>
      <c r="DM5" s="233">
        <f>HLOOKUP(DJ5,startgrid,5,0)</f>
        <v>14</v>
      </c>
      <c r="DN5" s="655" t="s">
        <v>282</v>
      </c>
      <c r="DO5" s="166" t="s">
        <v>365</v>
      </c>
      <c r="DP5" s="233"/>
      <c r="DQ5" s="233" t="s">
        <v>73</v>
      </c>
      <c r="DR5" s="233">
        <f>HLOOKUP(DO5,startgrid,5,0)</f>
        <v>6</v>
      </c>
      <c r="DS5" s="655" t="s">
        <v>282</v>
      </c>
      <c r="DT5" s="166" t="s">
        <v>348</v>
      </c>
      <c r="DU5" s="233"/>
      <c r="DV5" s="233" t="s">
        <v>73</v>
      </c>
      <c r="DW5" s="233">
        <f>HLOOKUP(DT5,startgrid,5,0)</f>
        <v>10</v>
      </c>
      <c r="DX5" s="655" t="s">
        <v>282</v>
      </c>
      <c r="DY5" s="166" t="s">
        <v>73</v>
      </c>
      <c r="DZ5" s="170"/>
      <c r="EA5" s="170" t="s">
        <v>73</v>
      </c>
      <c r="EB5" s="170" t="str">
        <f>HLOOKUP(DY5,startgrid,5,0)</f>
        <v>…</v>
      </c>
      <c r="EC5" s="167" t="s">
        <v>73</v>
      </c>
      <c r="ED5" s="166" t="s">
        <v>73</v>
      </c>
      <c r="EE5" s="170"/>
      <c r="EF5" s="170" t="s">
        <v>73</v>
      </c>
      <c r="EG5" s="170" t="str">
        <f>HLOOKUP(ED5,startgrid,5,0)</f>
        <v>…</v>
      </c>
      <c r="EH5" s="167" t="s">
        <v>73</v>
      </c>
      <c r="EI5" s="145">
        <f>Blad2!AT17</f>
        <v>1.2549537037037037E-3</v>
      </c>
      <c r="EJ5" s="588">
        <f t="shared" si="0"/>
        <v>1</v>
      </c>
      <c r="EK5" s="122"/>
    </row>
    <row r="6" spans="1:141" ht="15" customHeight="1" x14ac:dyDescent="0.2">
      <c r="A6" s="335" t="s">
        <v>72</v>
      </c>
      <c r="B6" s="339" t="s">
        <v>71</v>
      </c>
      <c r="C6" s="340">
        <v>43597</v>
      </c>
      <c r="D6" s="331" t="s">
        <v>71</v>
      </c>
      <c r="E6" s="157" t="s">
        <v>344</v>
      </c>
      <c r="F6" s="215" t="s">
        <v>567</v>
      </c>
      <c r="G6" s="216">
        <v>0.63194444444444442</v>
      </c>
      <c r="H6" s="216">
        <v>0.63194444444444442</v>
      </c>
      <c r="I6" s="217">
        <v>4.6550000000000002</v>
      </c>
      <c r="J6" s="224">
        <v>66</v>
      </c>
      <c r="K6" s="231" t="s">
        <v>348</v>
      </c>
      <c r="L6" s="227">
        <v>9.0788194444444456E-4</v>
      </c>
      <c r="M6" s="241">
        <v>2018</v>
      </c>
      <c r="N6" s="600">
        <v>2018</v>
      </c>
      <c r="O6" s="606" t="s">
        <v>66</v>
      </c>
      <c r="P6" s="245" t="s">
        <v>328</v>
      </c>
      <c r="Q6" s="607">
        <v>8.8163194444444443E-4</v>
      </c>
      <c r="R6" s="603" t="s">
        <v>66</v>
      </c>
      <c r="S6" s="245" t="s">
        <v>328</v>
      </c>
      <c r="T6" s="245" t="s">
        <v>350</v>
      </c>
      <c r="U6" s="245" t="s">
        <v>328</v>
      </c>
      <c r="V6" s="245" t="s">
        <v>390</v>
      </c>
      <c r="W6" s="248" t="s">
        <v>401</v>
      </c>
      <c r="X6" s="254" t="str">
        <f>Blad2!B21</f>
        <v>V. Bottas</v>
      </c>
      <c r="Y6" s="255">
        <f>Blad2!C21</f>
        <v>8.7275462962962957E-4</v>
      </c>
      <c r="Z6" s="250" t="s">
        <v>66</v>
      </c>
      <c r="AA6" s="139">
        <v>54</v>
      </c>
      <c r="AB6" s="162">
        <v>9.084722222222223E-4</v>
      </c>
      <c r="AC6" s="166" t="s">
        <v>66</v>
      </c>
      <c r="AD6" s="233"/>
      <c r="AE6" s="233" t="s">
        <v>73</v>
      </c>
      <c r="AF6" s="233">
        <f>HLOOKUP(AC6,startgrid,6,0)</f>
        <v>2</v>
      </c>
      <c r="AG6" s="167">
        <v>6.6556053240740751E-2</v>
      </c>
      <c r="AH6" s="166" t="s">
        <v>350</v>
      </c>
      <c r="AI6" s="233"/>
      <c r="AJ6" s="233" t="s">
        <v>73</v>
      </c>
      <c r="AK6" s="233">
        <f>HLOOKUP(AH6,startgrid,6,0)</f>
        <v>1</v>
      </c>
      <c r="AL6" s="655" t="s">
        <v>643</v>
      </c>
      <c r="AM6" s="166" t="s">
        <v>390</v>
      </c>
      <c r="AN6" s="233"/>
      <c r="AO6" s="233" t="s">
        <v>73</v>
      </c>
      <c r="AP6" s="233">
        <f>HLOOKUP(AM6,startgrid,6,0)</f>
        <v>4</v>
      </c>
      <c r="AQ6" s="655" t="s">
        <v>644</v>
      </c>
      <c r="AR6" s="166" t="s">
        <v>67</v>
      </c>
      <c r="AS6" s="233"/>
      <c r="AT6" s="233" t="s">
        <v>73</v>
      </c>
      <c r="AU6" s="233">
        <f>HLOOKUP(AR6,startgrid,6,0)</f>
        <v>3</v>
      </c>
      <c r="AV6" s="655" t="s">
        <v>645</v>
      </c>
      <c r="AW6" s="166" t="s">
        <v>500</v>
      </c>
      <c r="AX6" s="233"/>
      <c r="AY6" s="233" t="s">
        <v>73</v>
      </c>
      <c r="AZ6" s="233">
        <f>HLOOKUP(AW6,startgrid,6,0)</f>
        <v>5</v>
      </c>
      <c r="BA6" s="655" t="s">
        <v>646</v>
      </c>
      <c r="BB6" s="166" t="s">
        <v>496</v>
      </c>
      <c r="BC6" s="233"/>
      <c r="BD6" s="233" t="s">
        <v>73</v>
      </c>
      <c r="BE6" s="233">
        <f>HLOOKUP(BB6,startgrid,6,0)</f>
        <v>6</v>
      </c>
      <c r="BF6" s="655" t="s">
        <v>647</v>
      </c>
      <c r="BG6" s="166" t="s">
        <v>369</v>
      </c>
      <c r="BH6" s="233"/>
      <c r="BI6" s="233" t="s">
        <v>73</v>
      </c>
      <c r="BJ6" s="233">
        <f>HLOOKUP(BG6,startgrid,6,0)</f>
        <v>8</v>
      </c>
      <c r="BK6" s="655" t="s">
        <v>648</v>
      </c>
      <c r="BL6" s="166" t="s">
        <v>418</v>
      </c>
      <c r="BM6" s="233"/>
      <c r="BN6" s="233" t="s">
        <v>73</v>
      </c>
      <c r="BO6" s="233">
        <f>HLOOKUP(BL6,startgrid,6,0)</f>
        <v>12</v>
      </c>
      <c r="BP6" s="655" t="s">
        <v>649</v>
      </c>
      <c r="BQ6" s="166" t="s">
        <v>365</v>
      </c>
      <c r="BR6" s="233"/>
      <c r="BS6" s="233" t="s">
        <v>73</v>
      </c>
      <c r="BT6" s="233">
        <f>HLOOKUP(BQ6,startgrid,6,0)</f>
        <v>9</v>
      </c>
      <c r="BU6" s="655" t="s">
        <v>650</v>
      </c>
      <c r="BV6" s="166" t="s">
        <v>349</v>
      </c>
      <c r="BW6" s="233"/>
      <c r="BX6" s="233" t="s">
        <v>73</v>
      </c>
      <c r="BY6" s="233">
        <f>HLOOKUP(BV6,startgrid,6,0)</f>
        <v>7</v>
      </c>
      <c r="BZ6" s="655" t="s">
        <v>651</v>
      </c>
      <c r="CA6" s="166" t="s">
        <v>542</v>
      </c>
      <c r="CB6" s="233"/>
      <c r="CC6" s="233" t="s">
        <v>73</v>
      </c>
      <c r="CD6" s="233">
        <f>HLOOKUP(CA6,startgrid,6,0)</f>
        <v>11</v>
      </c>
      <c r="CE6" s="655" t="s">
        <v>652</v>
      </c>
      <c r="CF6" s="166" t="s">
        <v>348</v>
      </c>
      <c r="CG6" s="233"/>
      <c r="CH6" s="233" t="s">
        <v>73</v>
      </c>
      <c r="CI6" s="233">
        <f>HLOOKUP(CF6,startgrid,6,0)</f>
        <v>13</v>
      </c>
      <c r="CJ6" s="655" t="s">
        <v>653</v>
      </c>
      <c r="CK6" s="166" t="s">
        <v>329</v>
      </c>
      <c r="CL6" s="233"/>
      <c r="CM6" s="233" t="s">
        <v>73</v>
      </c>
      <c r="CN6" s="233">
        <f>HLOOKUP(CK6,startgrid,6,0)</f>
        <v>20</v>
      </c>
      <c r="CO6" s="655" t="s">
        <v>654</v>
      </c>
      <c r="CP6" s="166" t="s">
        <v>63</v>
      </c>
      <c r="CQ6" s="233"/>
      <c r="CR6" s="233" t="s">
        <v>73</v>
      </c>
      <c r="CS6" s="233">
        <f>HLOOKUP(CP6,startgrid,6,0)</f>
        <v>14</v>
      </c>
      <c r="CT6" s="655" t="s">
        <v>655</v>
      </c>
      <c r="CU6" s="166" t="s">
        <v>347</v>
      </c>
      <c r="CV6" s="233"/>
      <c r="CW6" s="233" t="s">
        <v>73</v>
      </c>
      <c r="CX6" s="233">
        <f>HLOOKUP(CU6,startgrid,6,0)</f>
        <v>15</v>
      </c>
      <c r="CY6" s="655" t="s">
        <v>656</v>
      </c>
      <c r="CZ6" s="166" t="s">
        <v>497</v>
      </c>
      <c r="DA6" s="233"/>
      <c r="DB6" s="233" t="s">
        <v>73</v>
      </c>
      <c r="DC6" s="233">
        <f>HLOOKUP(CZ6,startgrid,6,0)</f>
        <v>18</v>
      </c>
      <c r="DD6" s="655" t="s">
        <v>657</v>
      </c>
      <c r="DE6" s="166" t="s">
        <v>549</v>
      </c>
      <c r="DF6" s="233"/>
      <c r="DG6" s="233" t="s">
        <v>73</v>
      </c>
      <c r="DH6" s="233">
        <f>HLOOKUP(DE6,startgrid,6,0)</f>
        <v>19</v>
      </c>
      <c r="DI6" s="655" t="s">
        <v>615</v>
      </c>
      <c r="DJ6" s="166" t="s">
        <v>528</v>
      </c>
      <c r="DK6" s="233"/>
      <c r="DL6" s="233" t="s">
        <v>73</v>
      </c>
      <c r="DM6" s="233">
        <f>HLOOKUP(DJ6,startgrid,6,0)</f>
        <v>17</v>
      </c>
      <c r="DN6" s="655" t="s">
        <v>615</v>
      </c>
      <c r="DO6" s="166" t="s">
        <v>481</v>
      </c>
      <c r="DP6" s="233"/>
      <c r="DQ6" s="233" t="s">
        <v>73</v>
      </c>
      <c r="DR6" s="233">
        <f>HLOOKUP(DO6,startgrid,6,0)</f>
        <v>16</v>
      </c>
      <c r="DS6" s="655" t="s">
        <v>282</v>
      </c>
      <c r="DT6" s="166" t="s">
        <v>529</v>
      </c>
      <c r="DU6" s="233"/>
      <c r="DV6" s="233" t="s">
        <v>73</v>
      </c>
      <c r="DW6" s="233">
        <f>HLOOKUP(DT6,startgrid,6,0)</f>
        <v>10</v>
      </c>
      <c r="DX6" s="655" t="s">
        <v>282</v>
      </c>
      <c r="DY6" s="166" t="s">
        <v>73</v>
      </c>
      <c r="DZ6" s="170"/>
      <c r="EA6" s="170" t="s">
        <v>73</v>
      </c>
      <c r="EB6" s="170" t="str">
        <f>HLOOKUP(DY6,startgrid,6,0)</f>
        <v>…</v>
      </c>
      <c r="EC6" s="167" t="s">
        <v>73</v>
      </c>
      <c r="ED6" s="166" t="s">
        <v>73</v>
      </c>
      <c r="EE6" s="170"/>
      <c r="EF6" s="170" t="s">
        <v>73</v>
      </c>
      <c r="EG6" s="170" t="str">
        <f>HLOOKUP(ED6,startgrid,6,0)</f>
        <v>…</v>
      </c>
      <c r="EH6" s="167" t="s">
        <v>73</v>
      </c>
      <c r="EI6" s="145">
        <f>Blad2!AT21</f>
        <v>9.3017361111111111E-4</v>
      </c>
      <c r="EJ6" s="588">
        <f t="shared" si="0"/>
        <v>1</v>
      </c>
      <c r="EK6" s="122"/>
    </row>
    <row r="7" spans="1:141" ht="15" customHeight="1" x14ac:dyDescent="0.2">
      <c r="A7" s="335" t="s">
        <v>74</v>
      </c>
      <c r="B7" s="339" t="s">
        <v>75</v>
      </c>
      <c r="C7" s="340">
        <v>43611</v>
      </c>
      <c r="D7" s="331" t="s">
        <v>75</v>
      </c>
      <c r="E7" s="157" t="s">
        <v>337</v>
      </c>
      <c r="F7" s="215" t="s">
        <v>488</v>
      </c>
      <c r="G7" s="216">
        <v>0.63194444444444442</v>
      </c>
      <c r="H7" s="216">
        <v>0.63194444444444442</v>
      </c>
      <c r="I7" s="217">
        <v>3.3370000000000002</v>
      </c>
      <c r="J7" s="224">
        <v>78</v>
      </c>
      <c r="K7" s="231" t="s">
        <v>390</v>
      </c>
      <c r="L7" s="227">
        <v>8.5949074074074085E-4</v>
      </c>
      <c r="M7" s="241">
        <v>2018</v>
      </c>
      <c r="N7" s="600">
        <v>2018</v>
      </c>
      <c r="O7" s="606" t="s">
        <v>348</v>
      </c>
      <c r="P7" s="245" t="s">
        <v>401</v>
      </c>
      <c r="Q7" s="607">
        <v>8.1956018518518521E-4</v>
      </c>
      <c r="R7" s="603" t="s">
        <v>348</v>
      </c>
      <c r="S7" s="245" t="s">
        <v>401</v>
      </c>
      <c r="T7" s="245" t="s">
        <v>67</v>
      </c>
      <c r="U7" s="245" t="s">
        <v>64</v>
      </c>
      <c r="V7" s="245" t="s">
        <v>66</v>
      </c>
      <c r="W7" s="248" t="s">
        <v>328</v>
      </c>
      <c r="X7" s="254" t="str">
        <f>Blad2!B25</f>
        <v>L. Hamilton</v>
      </c>
      <c r="Y7" s="255">
        <f>Blad2!C25</f>
        <v>8.1210648148148147E-4</v>
      </c>
      <c r="Z7" s="250" t="s">
        <v>496</v>
      </c>
      <c r="AA7" s="139">
        <v>72</v>
      </c>
      <c r="AB7" s="162">
        <v>8.5971064814814807E-4</v>
      </c>
      <c r="AC7" s="166" t="s">
        <v>66</v>
      </c>
      <c r="AD7" s="233"/>
      <c r="AE7" s="233" t="s">
        <v>73</v>
      </c>
      <c r="AF7" s="233">
        <f>HLOOKUP(AC7,startgrid,7,0)</f>
        <v>1</v>
      </c>
      <c r="AG7" s="167">
        <v>7.1856909722222223E-2</v>
      </c>
      <c r="AH7" s="166" t="s">
        <v>67</v>
      </c>
      <c r="AI7" s="233"/>
      <c r="AJ7" s="233" t="s">
        <v>73</v>
      </c>
      <c r="AK7" s="233">
        <f>HLOOKUP(AH7,startgrid,7,0)</f>
        <v>4</v>
      </c>
      <c r="AL7" s="655" t="s">
        <v>658</v>
      </c>
      <c r="AM7" s="166" t="s">
        <v>350</v>
      </c>
      <c r="AN7" s="233"/>
      <c r="AO7" s="233" t="s">
        <v>73</v>
      </c>
      <c r="AP7" s="233">
        <f>HLOOKUP(AM7,startgrid,7,0)</f>
        <v>2</v>
      </c>
      <c r="AQ7" s="655" t="s">
        <v>659</v>
      </c>
      <c r="AR7" s="166" t="s">
        <v>390</v>
      </c>
      <c r="AS7" s="233" t="s">
        <v>618</v>
      </c>
      <c r="AT7" s="233" t="s">
        <v>73</v>
      </c>
      <c r="AU7" s="233">
        <f>HLOOKUP(AR7,startgrid,7,0)</f>
        <v>3</v>
      </c>
      <c r="AV7" s="655" t="s">
        <v>660</v>
      </c>
      <c r="AW7" s="166" t="s">
        <v>496</v>
      </c>
      <c r="AX7" s="233"/>
      <c r="AY7" s="233" t="s">
        <v>73</v>
      </c>
      <c r="AZ7" s="233">
        <f>HLOOKUP(AW7,startgrid,7,0)</f>
        <v>8</v>
      </c>
      <c r="BA7" s="655" t="s">
        <v>661</v>
      </c>
      <c r="BB7" s="166" t="s">
        <v>418</v>
      </c>
      <c r="BC7" s="233"/>
      <c r="BD7" s="233" t="s">
        <v>73</v>
      </c>
      <c r="BE7" s="233">
        <f>HLOOKUP(BB7,startgrid,7,0)</f>
        <v>9</v>
      </c>
      <c r="BF7" s="655" t="s">
        <v>662</v>
      </c>
      <c r="BG7" s="166" t="s">
        <v>365</v>
      </c>
      <c r="BH7" s="233"/>
      <c r="BI7" s="233" t="s">
        <v>73</v>
      </c>
      <c r="BJ7" s="233">
        <f>HLOOKUP(BG7,startgrid,7,0)</f>
        <v>7</v>
      </c>
      <c r="BK7" s="655" t="s">
        <v>663</v>
      </c>
      <c r="BL7" s="166" t="s">
        <v>542</v>
      </c>
      <c r="BM7" s="233"/>
      <c r="BN7" s="233" t="s">
        <v>73</v>
      </c>
      <c r="BO7" s="233">
        <f>HLOOKUP(BL7,startgrid,7,0)</f>
        <v>10</v>
      </c>
      <c r="BP7" s="655" t="s">
        <v>664</v>
      </c>
      <c r="BQ7" s="166" t="s">
        <v>348</v>
      </c>
      <c r="BR7" s="233"/>
      <c r="BS7" s="233" t="s">
        <v>73</v>
      </c>
      <c r="BT7" s="233">
        <f>HLOOKUP(BQ7,startgrid,7,0)</f>
        <v>6</v>
      </c>
      <c r="BU7" s="655" t="s">
        <v>665</v>
      </c>
      <c r="BV7" s="166" t="s">
        <v>349</v>
      </c>
      <c r="BW7" s="233"/>
      <c r="BX7" s="233" t="s">
        <v>73</v>
      </c>
      <c r="BY7" s="233">
        <f>HLOOKUP(BV7,startgrid,7,0)</f>
        <v>13</v>
      </c>
      <c r="BZ7" s="655" t="s">
        <v>666</v>
      </c>
      <c r="CA7" s="166" t="s">
        <v>529</v>
      </c>
      <c r="CB7" s="233"/>
      <c r="CC7" s="233" t="s">
        <v>73</v>
      </c>
      <c r="CD7" s="233">
        <f>HLOOKUP(CA7,startgrid,7,0)</f>
        <v>12</v>
      </c>
      <c r="CE7" s="655" t="s">
        <v>667</v>
      </c>
      <c r="CF7" s="166" t="s">
        <v>347</v>
      </c>
      <c r="CG7" s="233"/>
      <c r="CH7" s="233" t="s">
        <v>73</v>
      </c>
      <c r="CI7" s="233">
        <f>HLOOKUP(CF7,startgrid,7,0)</f>
        <v>16</v>
      </c>
      <c r="CJ7" s="655" t="s">
        <v>615</v>
      </c>
      <c r="CK7" s="166" t="s">
        <v>329</v>
      </c>
      <c r="CL7" s="233"/>
      <c r="CM7" s="233" t="s">
        <v>73</v>
      </c>
      <c r="CN7" s="233">
        <f>HLOOKUP(CK7,startgrid,7,0)</f>
        <v>11</v>
      </c>
      <c r="CO7" s="655" t="s">
        <v>615</v>
      </c>
      <c r="CP7" s="166" t="s">
        <v>369</v>
      </c>
      <c r="CQ7" s="233" t="s">
        <v>618</v>
      </c>
      <c r="CR7" s="233" t="s">
        <v>73</v>
      </c>
      <c r="CS7" s="233">
        <f>HLOOKUP(CP7,startgrid,7,0)</f>
        <v>5</v>
      </c>
      <c r="CT7" s="655" t="s">
        <v>615</v>
      </c>
      <c r="CU7" s="166" t="s">
        <v>549</v>
      </c>
      <c r="CV7" s="233"/>
      <c r="CW7" s="233" t="s">
        <v>73</v>
      </c>
      <c r="CX7" s="233">
        <f>HLOOKUP(CU7,startgrid,7,0)</f>
        <v>19</v>
      </c>
      <c r="CY7" s="655" t="s">
        <v>615</v>
      </c>
      <c r="CZ7" s="166" t="s">
        <v>481</v>
      </c>
      <c r="DA7" s="233"/>
      <c r="DB7" s="233" t="s">
        <v>73</v>
      </c>
      <c r="DC7" s="233">
        <f>HLOOKUP(CZ7,startgrid,7,0)</f>
        <v>17</v>
      </c>
      <c r="DD7" s="655" t="s">
        <v>615</v>
      </c>
      <c r="DE7" s="166" t="s">
        <v>63</v>
      </c>
      <c r="DF7" s="233"/>
      <c r="DG7" s="233" t="s">
        <v>73</v>
      </c>
      <c r="DH7" s="233">
        <f>HLOOKUP(DE7,startgrid,7,0)</f>
        <v>14</v>
      </c>
      <c r="DI7" s="655" t="s">
        <v>615</v>
      </c>
      <c r="DJ7" s="166" t="s">
        <v>528</v>
      </c>
      <c r="DK7" s="233"/>
      <c r="DL7" s="233" t="s">
        <v>73</v>
      </c>
      <c r="DM7" s="233">
        <f>HLOOKUP(DJ7,startgrid,7,0)</f>
        <v>20</v>
      </c>
      <c r="DN7" s="655" t="s">
        <v>615</v>
      </c>
      <c r="DO7" s="166" t="s">
        <v>497</v>
      </c>
      <c r="DP7" s="233"/>
      <c r="DQ7" s="233" t="s">
        <v>73</v>
      </c>
      <c r="DR7" s="233">
        <f>HLOOKUP(DO7,startgrid,7,0)</f>
        <v>18</v>
      </c>
      <c r="DS7" s="655" t="s">
        <v>616</v>
      </c>
      <c r="DT7" s="166" t="s">
        <v>500</v>
      </c>
      <c r="DU7" s="233"/>
      <c r="DV7" s="233" t="s">
        <v>73</v>
      </c>
      <c r="DW7" s="233">
        <f>HLOOKUP(DT7,startgrid,7,0)</f>
        <v>15</v>
      </c>
      <c r="DX7" s="655" t="s">
        <v>282</v>
      </c>
      <c r="DY7" s="166" t="s">
        <v>73</v>
      </c>
      <c r="DZ7" s="170"/>
      <c r="EA7" s="170" t="s">
        <v>73</v>
      </c>
      <c r="EB7" s="170" t="str">
        <f>HLOOKUP(DY7,startgrid,7,0)</f>
        <v>…</v>
      </c>
      <c r="EC7" s="167" t="s">
        <v>73</v>
      </c>
      <c r="ED7" s="166" t="s">
        <v>73</v>
      </c>
      <c r="EE7" s="170"/>
      <c r="EF7" s="170" t="s">
        <v>73</v>
      </c>
      <c r="EG7" s="170" t="str">
        <f>HLOOKUP(ED7,startgrid,7,0)</f>
        <v>…</v>
      </c>
      <c r="EH7" s="167" t="s">
        <v>73</v>
      </c>
      <c r="EI7" s="145">
        <f>Blad2!AT25</f>
        <v>8.8465277777777772E-4</v>
      </c>
      <c r="EJ7" s="588">
        <f t="shared" si="0"/>
        <v>1</v>
      </c>
      <c r="EK7" s="122"/>
    </row>
    <row r="8" spans="1:141" ht="15" customHeight="1" x14ac:dyDescent="0.2">
      <c r="A8" s="335" t="s">
        <v>76</v>
      </c>
      <c r="B8" s="339" t="s">
        <v>330</v>
      </c>
      <c r="C8" s="340">
        <v>43625</v>
      </c>
      <c r="D8" s="331" t="s">
        <v>330</v>
      </c>
      <c r="E8" s="157" t="s">
        <v>430</v>
      </c>
      <c r="F8" s="215" t="s">
        <v>489</v>
      </c>
      <c r="G8" s="216">
        <v>0.59027777777777779</v>
      </c>
      <c r="H8" s="216">
        <v>0.84027777777777779</v>
      </c>
      <c r="I8" s="217">
        <v>4.3609999999999998</v>
      </c>
      <c r="J8" s="224">
        <v>70</v>
      </c>
      <c r="K8" s="231" t="s">
        <v>532</v>
      </c>
      <c r="L8" s="227">
        <v>8.5210648148148157E-4</v>
      </c>
      <c r="M8" s="241">
        <v>2004</v>
      </c>
      <c r="N8" s="600">
        <v>2018</v>
      </c>
      <c r="O8" s="606" t="s">
        <v>67</v>
      </c>
      <c r="P8" s="245" t="s">
        <v>64</v>
      </c>
      <c r="Q8" s="607">
        <v>8.1902777777777779E-4</v>
      </c>
      <c r="R8" s="603" t="s">
        <v>67</v>
      </c>
      <c r="S8" s="245" t="s">
        <v>64</v>
      </c>
      <c r="T8" s="245" t="s">
        <v>350</v>
      </c>
      <c r="U8" s="245" t="s">
        <v>328</v>
      </c>
      <c r="V8" s="245" t="s">
        <v>390</v>
      </c>
      <c r="W8" s="248" t="s">
        <v>401</v>
      </c>
      <c r="X8" s="254" t="str">
        <f>Blad2!B29</f>
        <v>S. Vettel</v>
      </c>
      <c r="Y8" s="255">
        <f>Blad2!C29</f>
        <v>8.1296296296296292E-4</v>
      </c>
      <c r="Z8" s="250" t="s">
        <v>350</v>
      </c>
      <c r="AA8" s="139">
        <v>69</v>
      </c>
      <c r="AB8" s="162">
        <v>8.4581018518518512E-4</v>
      </c>
      <c r="AC8" s="166" t="s">
        <v>66</v>
      </c>
      <c r="AD8" s="233"/>
      <c r="AE8" s="233" t="s">
        <v>73</v>
      </c>
      <c r="AF8" s="233">
        <f>HLOOKUP(AC8,startgrid,8,0)</f>
        <v>2</v>
      </c>
      <c r="AG8" s="167">
        <v>6.1887546296296302E-2</v>
      </c>
      <c r="AH8" s="166" t="s">
        <v>67</v>
      </c>
      <c r="AI8" s="233" t="s">
        <v>618</v>
      </c>
      <c r="AJ8" s="233" t="s">
        <v>73</v>
      </c>
      <c r="AK8" s="233">
        <f>HLOOKUP(AH8,startgrid,8,0)</f>
        <v>1</v>
      </c>
      <c r="AL8" s="655" t="s">
        <v>669</v>
      </c>
      <c r="AM8" s="166" t="s">
        <v>500</v>
      </c>
      <c r="AN8" s="233"/>
      <c r="AO8" s="233" t="s">
        <v>73</v>
      </c>
      <c r="AP8" s="233">
        <f>HLOOKUP(AM8,startgrid,8,0)</f>
        <v>3</v>
      </c>
      <c r="AQ8" s="655" t="s">
        <v>670</v>
      </c>
      <c r="AR8" s="166" t="s">
        <v>350</v>
      </c>
      <c r="AS8" s="233"/>
      <c r="AT8" s="233" t="s">
        <v>73</v>
      </c>
      <c r="AU8" s="233">
        <f>HLOOKUP(AR8,startgrid,8,0)</f>
        <v>6</v>
      </c>
      <c r="AV8" s="655" t="s">
        <v>671</v>
      </c>
      <c r="AW8" s="166" t="s">
        <v>390</v>
      </c>
      <c r="AX8" s="233"/>
      <c r="AY8" s="233" t="s">
        <v>73</v>
      </c>
      <c r="AZ8" s="233">
        <f>HLOOKUP(AW8,startgrid,8,0)</f>
        <v>9</v>
      </c>
      <c r="BA8" s="655" t="s">
        <v>672</v>
      </c>
      <c r="BB8" s="166" t="s">
        <v>348</v>
      </c>
      <c r="BC8" s="233"/>
      <c r="BD8" s="233" t="s">
        <v>73</v>
      </c>
      <c r="BE8" s="233">
        <f>HLOOKUP(BB8,startgrid,8,0)</f>
        <v>4</v>
      </c>
      <c r="BF8" s="655" t="s">
        <v>615</v>
      </c>
      <c r="BG8" s="166" t="s">
        <v>329</v>
      </c>
      <c r="BH8" s="233"/>
      <c r="BI8" s="233" t="s">
        <v>73</v>
      </c>
      <c r="BJ8" s="233">
        <f>HLOOKUP(BG8,startgrid,8,0)</f>
        <v>7</v>
      </c>
      <c r="BK8" s="655" t="s">
        <v>615</v>
      </c>
      <c r="BL8" s="166" t="s">
        <v>496</v>
      </c>
      <c r="BM8" s="233"/>
      <c r="BN8" s="233" t="s">
        <v>73</v>
      </c>
      <c r="BO8" s="233">
        <f>HLOOKUP(BL8,startgrid,8,0)</f>
        <v>5</v>
      </c>
      <c r="BP8" s="655" t="s">
        <v>615</v>
      </c>
      <c r="BQ8" s="166" t="s">
        <v>481</v>
      </c>
      <c r="BR8" s="233"/>
      <c r="BS8" s="233" t="s">
        <v>73</v>
      </c>
      <c r="BT8" s="233">
        <f>HLOOKUP(BQ8,startgrid,8,0)</f>
        <v>17</v>
      </c>
      <c r="BU8" s="655" t="s">
        <v>615</v>
      </c>
      <c r="BV8" s="166" t="s">
        <v>365</v>
      </c>
      <c r="BW8" s="233"/>
      <c r="BX8" s="233" t="s">
        <v>73</v>
      </c>
      <c r="BY8" s="233">
        <f>HLOOKUP(BV8,startgrid,8,0)</f>
        <v>10</v>
      </c>
      <c r="BZ8" s="655" t="s">
        <v>615</v>
      </c>
      <c r="CA8" s="166" t="s">
        <v>418</v>
      </c>
      <c r="CB8" s="233"/>
      <c r="CC8" s="233" t="s">
        <v>73</v>
      </c>
      <c r="CD8" s="233">
        <f>HLOOKUP(CA8,startgrid,8,0)</f>
        <v>11</v>
      </c>
      <c r="CE8" s="655" t="s">
        <v>615</v>
      </c>
      <c r="CF8" s="166" t="s">
        <v>347</v>
      </c>
      <c r="CG8" s="233"/>
      <c r="CH8" s="233" t="s">
        <v>73</v>
      </c>
      <c r="CI8" s="233">
        <f>HLOOKUP(CF8,startgrid,8,0)</f>
        <v>15</v>
      </c>
      <c r="CJ8" s="655" t="s">
        <v>615</v>
      </c>
      <c r="CK8" s="166" t="s">
        <v>497</v>
      </c>
      <c r="CL8" s="233"/>
      <c r="CM8" s="233" t="s">
        <v>73</v>
      </c>
      <c r="CN8" s="233">
        <f>HLOOKUP(CK8,startgrid,8,0)</f>
        <v>12</v>
      </c>
      <c r="CO8" s="655" t="s">
        <v>615</v>
      </c>
      <c r="CP8" s="166" t="s">
        <v>349</v>
      </c>
      <c r="CQ8" s="233"/>
      <c r="CR8" s="233" t="s">
        <v>73</v>
      </c>
      <c r="CS8" s="233">
        <f>HLOOKUP(CP8,startgrid,8,0)</f>
        <v>14</v>
      </c>
      <c r="CT8" s="655" t="s">
        <v>615</v>
      </c>
      <c r="CU8" s="166" t="s">
        <v>63</v>
      </c>
      <c r="CV8" s="233"/>
      <c r="CW8" s="233" t="s">
        <v>73</v>
      </c>
      <c r="CX8" s="233">
        <f>HLOOKUP(CU8,startgrid,8,0)</f>
        <v>16</v>
      </c>
      <c r="CY8" s="655" t="s">
        <v>615</v>
      </c>
      <c r="CZ8" s="166" t="s">
        <v>549</v>
      </c>
      <c r="DA8" s="233"/>
      <c r="DB8" s="233" t="s">
        <v>73</v>
      </c>
      <c r="DC8" s="233">
        <f>HLOOKUP(CZ8,startgrid,8,0)</f>
        <v>18</v>
      </c>
      <c r="DD8" s="655" t="s">
        <v>616</v>
      </c>
      <c r="DE8" s="166" t="s">
        <v>369</v>
      </c>
      <c r="DF8" s="233"/>
      <c r="DG8" s="233" t="s">
        <v>73</v>
      </c>
      <c r="DH8" s="233">
        <f>HLOOKUP(DE8,startgrid,8,0)</f>
        <v>20</v>
      </c>
      <c r="DI8" s="655" t="s">
        <v>616</v>
      </c>
      <c r="DJ8" s="166" t="s">
        <v>528</v>
      </c>
      <c r="DK8" s="233"/>
      <c r="DL8" s="233" t="s">
        <v>73</v>
      </c>
      <c r="DM8" s="233">
        <f>HLOOKUP(DJ8,startgrid,8,0)</f>
        <v>19</v>
      </c>
      <c r="DN8" s="655" t="s">
        <v>617</v>
      </c>
      <c r="DO8" s="166" t="s">
        <v>542</v>
      </c>
      <c r="DP8" s="233"/>
      <c r="DQ8" s="233" t="s">
        <v>73</v>
      </c>
      <c r="DR8" s="233">
        <f>HLOOKUP(DO8,startgrid,8,0)</f>
        <v>13</v>
      </c>
      <c r="DS8" s="655" t="s">
        <v>282</v>
      </c>
      <c r="DT8" s="166" t="s">
        <v>529</v>
      </c>
      <c r="DU8" s="233"/>
      <c r="DV8" s="233" t="s">
        <v>73</v>
      </c>
      <c r="DW8" s="233">
        <f>HLOOKUP(DT8,startgrid,8,0)</f>
        <v>8</v>
      </c>
      <c r="DX8" s="655" t="s">
        <v>282</v>
      </c>
      <c r="DY8" s="166" t="s">
        <v>73</v>
      </c>
      <c r="DZ8" s="170"/>
      <c r="EA8" s="170" t="s">
        <v>73</v>
      </c>
      <c r="EB8" s="170" t="str">
        <f>HLOOKUP(DY8,startgrid,8,0)</f>
        <v>…</v>
      </c>
      <c r="EC8" s="167" t="s">
        <v>73</v>
      </c>
      <c r="ED8" s="166" t="s">
        <v>73</v>
      </c>
      <c r="EE8" s="170"/>
      <c r="EF8" s="170" t="s">
        <v>73</v>
      </c>
      <c r="EG8" s="170" t="str">
        <f>HLOOKUP(ED8,startgrid,8,0)</f>
        <v>…</v>
      </c>
      <c r="EH8" s="167" t="s">
        <v>73</v>
      </c>
      <c r="EI8" s="145">
        <f>Blad2!AT29</f>
        <v>8.8175925925925932E-4</v>
      </c>
      <c r="EJ8" s="588">
        <f t="shared" si="0"/>
        <v>1</v>
      </c>
      <c r="EK8" s="122"/>
    </row>
    <row r="9" spans="1:141" ht="15" customHeight="1" x14ac:dyDescent="0.2">
      <c r="A9" s="335" t="s">
        <v>78</v>
      </c>
      <c r="B9" s="339" t="s">
        <v>361</v>
      </c>
      <c r="C9" s="340">
        <v>43639</v>
      </c>
      <c r="D9" s="331" t="s">
        <v>361</v>
      </c>
      <c r="E9" s="215" t="s">
        <v>518</v>
      </c>
      <c r="F9" s="215" t="s">
        <v>519</v>
      </c>
      <c r="G9" s="216">
        <v>0.63194444444444442</v>
      </c>
      <c r="H9" s="216">
        <v>0.63194444444444442</v>
      </c>
      <c r="I9" s="218">
        <v>5.8419999999999996</v>
      </c>
      <c r="J9" s="224">
        <v>53</v>
      </c>
      <c r="K9" s="231" t="s">
        <v>350</v>
      </c>
      <c r="L9" s="227">
        <v>1.0905671296296295E-3</v>
      </c>
      <c r="M9" s="241">
        <v>2018</v>
      </c>
      <c r="N9" s="600">
        <v>2018</v>
      </c>
      <c r="O9" s="606" t="s">
        <v>66</v>
      </c>
      <c r="P9" s="245" t="s">
        <v>328</v>
      </c>
      <c r="Q9" s="607">
        <v>1.0420023148148148E-3</v>
      </c>
      <c r="R9" s="603" t="s">
        <v>66</v>
      </c>
      <c r="S9" s="245" t="s">
        <v>328</v>
      </c>
      <c r="T9" s="245" t="s">
        <v>390</v>
      </c>
      <c r="U9" s="245" t="s">
        <v>401</v>
      </c>
      <c r="V9" s="245" t="s">
        <v>63</v>
      </c>
      <c r="W9" s="248" t="s">
        <v>64</v>
      </c>
      <c r="X9" s="254" t="str">
        <f>Blad2!B33</f>
        <v>L. Hamilton</v>
      </c>
      <c r="Y9" s="255">
        <f>Blad2!C33</f>
        <v>1.0222106481481482E-3</v>
      </c>
      <c r="Z9" s="250" t="s">
        <v>67</v>
      </c>
      <c r="AA9" s="139">
        <v>53</v>
      </c>
      <c r="AB9" s="162">
        <v>1.0733796296296296E-3</v>
      </c>
      <c r="AC9" s="166" t="s">
        <v>66</v>
      </c>
      <c r="AD9" s="233"/>
      <c r="AE9" s="233" t="s">
        <v>73</v>
      </c>
      <c r="AF9" s="233">
        <f>HLOOKUP(AC9,startgrid,9,0)</f>
        <v>1</v>
      </c>
      <c r="AG9" s="167">
        <v>5.8694421296296297E-2</v>
      </c>
      <c r="AH9" s="166" t="s">
        <v>350</v>
      </c>
      <c r="AI9" s="233"/>
      <c r="AJ9" s="233" t="s">
        <v>73</v>
      </c>
      <c r="AK9" s="233">
        <f>HLOOKUP(AH9,startgrid,9,0)</f>
        <v>2</v>
      </c>
      <c r="AL9" s="655" t="s">
        <v>674</v>
      </c>
      <c r="AM9" s="166" t="s">
        <v>500</v>
      </c>
      <c r="AN9" s="233"/>
      <c r="AO9" s="233" t="s">
        <v>73</v>
      </c>
      <c r="AP9" s="233">
        <f>HLOOKUP(AM9,startgrid,9,0)</f>
        <v>3</v>
      </c>
      <c r="AQ9" s="655" t="s">
        <v>675</v>
      </c>
      <c r="AR9" s="166" t="s">
        <v>390</v>
      </c>
      <c r="AS9" s="233"/>
      <c r="AT9" s="233" t="s">
        <v>73</v>
      </c>
      <c r="AU9" s="233">
        <f>HLOOKUP(AR9,startgrid,9,0)</f>
        <v>4</v>
      </c>
      <c r="AV9" s="655" t="s">
        <v>676</v>
      </c>
      <c r="AW9" s="166" t="s">
        <v>67</v>
      </c>
      <c r="AX9" s="233"/>
      <c r="AY9" s="233" t="s">
        <v>73</v>
      </c>
      <c r="AZ9" s="233">
        <f>HLOOKUP(AW9,startgrid,9,0)</f>
        <v>7</v>
      </c>
      <c r="BA9" s="655" t="s">
        <v>677</v>
      </c>
      <c r="BB9" s="166" t="s">
        <v>418</v>
      </c>
      <c r="BC9" s="233"/>
      <c r="BD9" s="233" t="s">
        <v>73</v>
      </c>
      <c r="BE9" s="233">
        <f>HLOOKUP(BB9,startgrid,9,0)</f>
        <v>6</v>
      </c>
      <c r="BF9" s="655" t="s">
        <v>678</v>
      </c>
      <c r="BG9" s="166" t="s">
        <v>63</v>
      </c>
      <c r="BH9" s="233"/>
      <c r="BI9" s="233" t="s">
        <v>73</v>
      </c>
      <c r="BJ9" s="233">
        <f>HLOOKUP(BG9,startgrid,9,0)</f>
        <v>12</v>
      </c>
      <c r="BK9" s="655" t="s">
        <v>615</v>
      </c>
      <c r="BL9" s="166" t="s">
        <v>329</v>
      </c>
      <c r="BM9" s="233"/>
      <c r="BN9" s="233" t="s">
        <v>73</v>
      </c>
      <c r="BO9" s="233">
        <f>HLOOKUP(BL9,startgrid,9,0)</f>
        <v>13</v>
      </c>
      <c r="BP9" s="655" t="s">
        <v>615</v>
      </c>
      <c r="BQ9" s="166" t="s">
        <v>529</v>
      </c>
      <c r="BR9" s="233"/>
      <c r="BS9" s="233" t="s">
        <v>73</v>
      </c>
      <c r="BT9" s="233">
        <f>HLOOKUP(BQ9,startgrid,9,0)</f>
        <v>5</v>
      </c>
      <c r="BU9" s="655" t="s">
        <v>615</v>
      </c>
      <c r="BV9" s="166" t="s">
        <v>496</v>
      </c>
      <c r="BW9" s="233"/>
      <c r="BX9" s="233" t="s">
        <v>73</v>
      </c>
      <c r="BY9" s="233">
        <f>HLOOKUP(BV9,startgrid,9,0)</f>
        <v>9</v>
      </c>
      <c r="BZ9" s="655" t="s">
        <v>615</v>
      </c>
      <c r="CA9" s="166" t="s">
        <v>348</v>
      </c>
      <c r="CB9" s="233" t="s">
        <v>618</v>
      </c>
      <c r="CC9" s="233" t="s">
        <v>73</v>
      </c>
      <c r="CD9" s="233">
        <f>HLOOKUP(CA9,startgrid,9,0)</f>
        <v>8</v>
      </c>
      <c r="CE9" s="655" t="s">
        <v>615</v>
      </c>
      <c r="CF9" s="166" t="s">
        <v>347</v>
      </c>
      <c r="CG9" s="233"/>
      <c r="CH9" s="233" t="s">
        <v>73</v>
      </c>
      <c r="CI9" s="233">
        <f>HLOOKUP(CF9,startgrid,9,0)</f>
        <v>14</v>
      </c>
      <c r="CJ9" s="655" t="s">
        <v>615</v>
      </c>
      <c r="CK9" s="166" t="s">
        <v>481</v>
      </c>
      <c r="CL9" s="233"/>
      <c r="CM9" s="233" t="s">
        <v>73</v>
      </c>
      <c r="CN9" s="233">
        <f>HLOOKUP(CK9,startgrid,9,0)</f>
        <v>17</v>
      </c>
      <c r="CO9" s="655" t="s">
        <v>615</v>
      </c>
      <c r="CP9" s="166" t="s">
        <v>365</v>
      </c>
      <c r="CQ9" s="233"/>
      <c r="CR9" s="233" t="s">
        <v>73</v>
      </c>
      <c r="CS9" s="233">
        <f>HLOOKUP(CP9,startgrid,9,0)</f>
        <v>19</v>
      </c>
      <c r="CT9" s="655" t="s">
        <v>615</v>
      </c>
      <c r="CU9" s="166" t="s">
        <v>542</v>
      </c>
      <c r="CV9" s="233"/>
      <c r="CW9" s="233" t="s">
        <v>73</v>
      </c>
      <c r="CX9" s="233">
        <f>HLOOKUP(CU9,startgrid,9,0)</f>
        <v>11</v>
      </c>
      <c r="CY9" s="655" t="s">
        <v>615</v>
      </c>
      <c r="CZ9" s="166" t="s">
        <v>497</v>
      </c>
      <c r="DA9" s="233"/>
      <c r="DB9" s="233" t="s">
        <v>73</v>
      </c>
      <c r="DC9" s="233">
        <f>HLOOKUP(CZ9,startgrid,9,0)</f>
        <v>10</v>
      </c>
      <c r="DD9" s="655" t="s">
        <v>615</v>
      </c>
      <c r="DE9" s="166" t="s">
        <v>369</v>
      </c>
      <c r="DF9" s="233"/>
      <c r="DG9" s="233" t="s">
        <v>73</v>
      </c>
      <c r="DH9" s="233">
        <f>HLOOKUP(DE9,startgrid,9,0)</f>
        <v>15</v>
      </c>
      <c r="DI9" s="655" t="s">
        <v>615</v>
      </c>
      <c r="DJ9" s="166" t="s">
        <v>528</v>
      </c>
      <c r="DK9" s="233"/>
      <c r="DL9" s="233" t="s">
        <v>73</v>
      </c>
      <c r="DM9" s="233">
        <f>HLOOKUP(DJ9,startgrid,9,0)</f>
        <v>18</v>
      </c>
      <c r="DN9" s="655" t="s">
        <v>616</v>
      </c>
      <c r="DO9" s="166" t="s">
        <v>549</v>
      </c>
      <c r="DP9" s="233"/>
      <c r="DQ9" s="233" t="s">
        <v>73</v>
      </c>
      <c r="DR9" s="233">
        <f>HLOOKUP(DO9,startgrid,9,0)</f>
        <v>20</v>
      </c>
      <c r="DS9" s="655" t="s">
        <v>616</v>
      </c>
      <c r="DT9" s="166" t="s">
        <v>349</v>
      </c>
      <c r="DU9" s="233"/>
      <c r="DV9" s="233" t="s">
        <v>73</v>
      </c>
      <c r="DW9" s="233">
        <f>HLOOKUP(DT9,startgrid,9,0)</f>
        <v>16</v>
      </c>
      <c r="DX9" s="655" t="s">
        <v>282</v>
      </c>
      <c r="DY9" s="166" t="s">
        <v>73</v>
      </c>
      <c r="DZ9" s="170"/>
      <c r="EA9" s="170" t="s">
        <v>73</v>
      </c>
      <c r="EB9" s="170" t="str">
        <f>HLOOKUP(DY9,startgrid,9,0)</f>
        <v>…</v>
      </c>
      <c r="EC9" s="167" t="s">
        <v>73</v>
      </c>
      <c r="ED9" s="166" t="s">
        <v>73</v>
      </c>
      <c r="EE9" s="170"/>
      <c r="EF9" s="170" t="s">
        <v>73</v>
      </c>
      <c r="EG9" s="170" t="str">
        <f>HLOOKUP(ED9,startgrid,9,0)</f>
        <v>…</v>
      </c>
      <c r="EH9" s="167" t="s">
        <v>73</v>
      </c>
      <c r="EI9" s="145">
        <f>Blad2!AT33</f>
        <v>1.121388888888889E-3</v>
      </c>
      <c r="EJ9" s="588">
        <f t="shared" si="0"/>
        <v>1</v>
      </c>
      <c r="EK9" s="122"/>
    </row>
    <row r="10" spans="1:141" ht="15" customHeight="1" x14ac:dyDescent="0.2">
      <c r="A10" s="335" t="s">
        <v>79</v>
      </c>
      <c r="B10" s="339" t="s">
        <v>373</v>
      </c>
      <c r="C10" s="340">
        <v>43646</v>
      </c>
      <c r="D10" s="331" t="s">
        <v>373</v>
      </c>
      <c r="E10" s="157" t="s">
        <v>374</v>
      </c>
      <c r="F10" s="157" t="s">
        <v>450</v>
      </c>
      <c r="G10" s="216">
        <v>0.63194444444444442</v>
      </c>
      <c r="H10" s="216">
        <v>0.63194444444444442</v>
      </c>
      <c r="I10" s="217">
        <v>4.3179999999999996</v>
      </c>
      <c r="J10" s="224">
        <v>71</v>
      </c>
      <c r="K10" s="231" t="s">
        <v>63</v>
      </c>
      <c r="L10" s="227">
        <v>7.7496527777777774E-4</v>
      </c>
      <c r="M10" s="241">
        <v>2018</v>
      </c>
      <c r="N10" s="600">
        <v>2018</v>
      </c>
      <c r="O10" s="606" t="s">
        <v>350</v>
      </c>
      <c r="P10" s="245" t="s">
        <v>328</v>
      </c>
      <c r="Q10" s="607">
        <v>7.3067129629629621E-4</v>
      </c>
      <c r="R10" s="603" t="s">
        <v>390</v>
      </c>
      <c r="S10" s="245" t="s">
        <v>401</v>
      </c>
      <c r="T10" s="245" t="s">
        <v>63</v>
      </c>
      <c r="U10" s="245" t="s">
        <v>64</v>
      </c>
      <c r="V10" s="245" t="s">
        <v>67</v>
      </c>
      <c r="W10" s="248" t="s">
        <v>64</v>
      </c>
      <c r="X10" s="254" t="str">
        <f>Blad2!B37</f>
        <v>C. Leclerc</v>
      </c>
      <c r="Y10" s="255">
        <f>Blad2!C37</f>
        <v>7.2920138888888893E-4</v>
      </c>
      <c r="Z10" s="250" t="s">
        <v>390</v>
      </c>
      <c r="AA10" s="139">
        <v>60</v>
      </c>
      <c r="AB10" s="162">
        <v>7.8096064814814814E-4</v>
      </c>
      <c r="AC10" s="166" t="s">
        <v>390</v>
      </c>
      <c r="AD10" s="233"/>
      <c r="AE10" s="233" t="s">
        <v>73</v>
      </c>
      <c r="AF10" s="233">
        <f>HLOOKUP(AC10,startgrid,10,0)</f>
        <v>2</v>
      </c>
      <c r="AG10" s="167">
        <v>5.6965532407407406E-2</v>
      </c>
      <c r="AH10" s="166" t="s">
        <v>500</v>
      </c>
      <c r="AI10" s="233"/>
      <c r="AJ10" s="233" t="s">
        <v>73</v>
      </c>
      <c r="AK10" s="233">
        <f>HLOOKUP(AH10,startgrid,10,0)</f>
        <v>1</v>
      </c>
      <c r="AL10" s="655" t="s">
        <v>679</v>
      </c>
      <c r="AM10" s="166" t="s">
        <v>350</v>
      </c>
      <c r="AN10" s="233"/>
      <c r="AO10" s="233" t="s">
        <v>73</v>
      </c>
      <c r="AP10" s="233">
        <f>HLOOKUP(AM10,startgrid,10,0)</f>
        <v>3</v>
      </c>
      <c r="AQ10" s="655" t="s">
        <v>675</v>
      </c>
      <c r="AR10" s="166" t="s">
        <v>67</v>
      </c>
      <c r="AS10" s="233"/>
      <c r="AT10" s="233" t="s">
        <v>73</v>
      </c>
      <c r="AU10" s="233">
        <f>HLOOKUP(AR10,startgrid,10,0)</f>
        <v>9</v>
      </c>
      <c r="AV10" s="655" t="s">
        <v>680</v>
      </c>
      <c r="AW10" s="166" t="s">
        <v>66</v>
      </c>
      <c r="AX10" s="233"/>
      <c r="AY10" s="233" t="s">
        <v>73</v>
      </c>
      <c r="AZ10" s="233">
        <f>HLOOKUP(AW10,startgrid,10,0)</f>
        <v>4</v>
      </c>
      <c r="BA10" s="655" t="s">
        <v>681</v>
      </c>
      <c r="BB10" s="166" t="s">
        <v>529</v>
      </c>
      <c r="BC10" s="233"/>
      <c r="BD10" s="233" t="s">
        <v>73</v>
      </c>
      <c r="BE10" s="233">
        <f>HLOOKUP(BB10,startgrid,10,0)</f>
        <v>5</v>
      </c>
      <c r="BF10" s="655" t="s">
        <v>615</v>
      </c>
      <c r="BG10" s="166" t="s">
        <v>496</v>
      </c>
      <c r="BH10" s="233"/>
      <c r="BI10" s="233" t="s">
        <v>73</v>
      </c>
      <c r="BJ10" s="233">
        <f>HLOOKUP(BG10,startgrid,10,0)</f>
        <v>8</v>
      </c>
      <c r="BK10" s="655" t="s">
        <v>615</v>
      </c>
      <c r="BL10" s="166" t="s">
        <v>418</v>
      </c>
      <c r="BM10" s="233"/>
      <c r="BN10" s="233" t="s">
        <v>73</v>
      </c>
      <c r="BO10" s="233">
        <f>HLOOKUP(BL10,startgrid,10,0)</f>
        <v>19</v>
      </c>
      <c r="BP10" s="655" t="s">
        <v>615</v>
      </c>
      <c r="BQ10" s="166" t="s">
        <v>63</v>
      </c>
      <c r="BR10" s="233"/>
      <c r="BS10" s="233" t="s">
        <v>73</v>
      </c>
      <c r="BT10" s="233">
        <f>HLOOKUP(BQ10,startgrid,10,0)</f>
        <v>6</v>
      </c>
      <c r="BU10" s="655" t="s">
        <v>615</v>
      </c>
      <c r="BV10" s="166" t="s">
        <v>497</v>
      </c>
      <c r="BW10" s="233"/>
      <c r="BX10" s="233" t="s">
        <v>73</v>
      </c>
      <c r="BY10" s="233">
        <f>HLOOKUP(BV10,startgrid,10,0)</f>
        <v>7</v>
      </c>
      <c r="BZ10" s="655" t="s">
        <v>615</v>
      </c>
      <c r="CA10" s="166" t="s">
        <v>347</v>
      </c>
      <c r="CB10" s="233"/>
      <c r="CC10" s="233" t="s">
        <v>73</v>
      </c>
      <c r="CD10" s="233">
        <f>HLOOKUP(CA10,startgrid,10,0)</f>
        <v>13</v>
      </c>
      <c r="CE10" s="655" t="s">
        <v>615</v>
      </c>
      <c r="CF10" s="166" t="s">
        <v>348</v>
      </c>
      <c r="CG10" s="233"/>
      <c r="CH10" s="233" t="s">
        <v>73</v>
      </c>
      <c r="CI10" s="233">
        <f>HLOOKUP(CF10,startgrid,10,0)</f>
        <v>12</v>
      </c>
      <c r="CJ10" s="655" t="s">
        <v>615</v>
      </c>
      <c r="CK10" s="166" t="s">
        <v>329</v>
      </c>
      <c r="CL10" s="233"/>
      <c r="CM10" s="233" t="s">
        <v>73</v>
      </c>
      <c r="CN10" s="233">
        <f>HLOOKUP(CK10,startgrid,10,0)</f>
        <v>15</v>
      </c>
      <c r="CO10" s="655" t="s">
        <v>615</v>
      </c>
      <c r="CP10" s="166" t="s">
        <v>481</v>
      </c>
      <c r="CQ10" s="233"/>
      <c r="CR10" s="233" t="s">
        <v>73</v>
      </c>
      <c r="CS10" s="233">
        <f>HLOOKUP(CP10,startgrid,10,0)</f>
        <v>14</v>
      </c>
      <c r="CT10" s="655" t="s">
        <v>615</v>
      </c>
      <c r="CU10" s="166" t="s">
        <v>542</v>
      </c>
      <c r="CV10" s="233"/>
      <c r="CW10" s="233" t="s">
        <v>73</v>
      </c>
      <c r="CX10" s="233">
        <f>HLOOKUP(CU10,startgrid,10,0)</f>
        <v>18</v>
      </c>
      <c r="CY10" s="655" t="s">
        <v>615</v>
      </c>
      <c r="CZ10" s="166" t="s">
        <v>349</v>
      </c>
      <c r="DA10" s="233"/>
      <c r="DB10" s="233" t="s">
        <v>73</v>
      </c>
      <c r="DC10" s="233">
        <f>HLOOKUP(CZ10,startgrid,10,0)</f>
        <v>11</v>
      </c>
      <c r="DD10" s="655" t="s">
        <v>615</v>
      </c>
      <c r="DE10" s="166" t="s">
        <v>365</v>
      </c>
      <c r="DF10" s="233"/>
      <c r="DG10" s="233" t="s">
        <v>73</v>
      </c>
      <c r="DH10" s="233">
        <f>HLOOKUP(DE10,startgrid,10,0)</f>
        <v>16</v>
      </c>
      <c r="DI10" s="655" t="s">
        <v>615</v>
      </c>
      <c r="DJ10" s="166" t="s">
        <v>549</v>
      </c>
      <c r="DK10" s="233"/>
      <c r="DL10" s="233" t="s">
        <v>73</v>
      </c>
      <c r="DM10" s="233">
        <f>HLOOKUP(DJ10,startgrid,10,0)</f>
        <v>20</v>
      </c>
      <c r="DN10" s="655" t="s">
        <v>616</v>
      </c>
      <c r="DO10" s="166" t="s">
        <v>369</v>
      </c>
      <c r="DP10" s="233"/>
      <c r="DQ10" s="233" t="s">
        <v>73</v>
      </c>
      <c r="DR10" s="233">
        <f>HLOOKUP(DO10,startgrid,10,0)</f>
        <v>10</v>
      </c>
      <c r="DS10" s="655" t="s">
        <v>616</v>
      </c>
      <c r="DT10" s="166" t="s">
        <v>528</v>
      </c>
      <c r="DU10" s="233"/>
      <c r="DV10" s="233" t="s">
        <v>73</v>
      </c>
      <c r="DW10" s="233">
        <f>HLOOKUP(DT10,startgrid,10,0)</f>
        <v>17</v>
      </c>
      <c r="DX10" s="655" t="s">
        <v>617</v>
      </c>
      <c r="DY10" s="166" t="s">
        <v>73</v>
      </c>
      <c r="DZ10" s="170"/>
      <c r="EA10" s="170" t="s">
        <v>73</v>
      </c>
      <c r="EB10" s="170" t="str">
        <f>HLOOKUP(DY10,startgrid,10,0)</f>
        <v>…</v>
      </c>
      <c r="EC10" s="167" t="s">
        <v>73</v>
      </c>
      <c r="ED10" s="166" t="s">
        <v>73</v>
      </c>
      <c r="EE10" s="170"/>
      <c r="EF10" s="170" t="s">
        <v>73</v>
      </c>
      <c r="EG10" s="170" t="str">
        <f>HLOOKUP(ED10,startgrid,10,0)</f>
        <v>…</v>
      </c>
      <c r="EH10" s="167" t="s">
        <v>73</v>
      </c>
      <c r="EI10" s="145">
        <f>Blad2!AT37</f>
        <v>7.9019675925925926E-4</v>
      </c>
      <c r="EJ10" s="588">
        <f t="shared" si="0"/>
        <v>1</v>
      </c>
      <c r="EK10" s="122"/>
    </row>
    <row r="11" spans="1:141" ht="15" customHeight="1" x14ac:dyDescent="0.2">
      <c r="A11" s="335" t="s">
        <v>80</v>
      </c>
      <c r="B11" s="339" t="s">
        <v>429</v>
      </c>
      <c r="C11" s="340">
        <v>43660</v>
      </c>
      <c r="D11" s="331" t="s">
        <v>429</v>
      </c>
      <c r="E11" s="157" t="s">
        <v>338</v>
      </c>
      <c r="F11" s="215" t="s">
        <v>490</v>
      </c>
      <c r="G11" s="216">
        <v>0.59027777777777779</v>
      </c>
      <c r="H11" s="216">
        <v>0.63194444444444442</v>
      </c>
      <c r="I11" s="217">
        <v>5.891</v>
      </c>
      <c r="J11" s="224">
        <v>52</v>
      </c>
      <c r="K11" s="231" t="s">
        <v>66</v>
      </c>
      <c r="L11" s="227">
        <v>1.0488541666666665E-3</v>
      </c>
      <c r="M11" s="241">
        <v>2017</v>
      </c>
      <c r="N11" s="600">
        <v>2018</v>
      </c>
      <c r="O11" s="606" t="s">
        <v>66</v>
      </c>
      <c r="P11" s="245" t="s">
        <v>328</v>
      </c>
      <c r="Q11" s="607">
        <v>9.9412037037037025E-4</v>
      </c>
      <c r="R11" s="603" t="s">
        <v>67</v>
      </c>
      <c r="S11" s="245" t="s">
        <v>64</v>
      </c>
      <c r="T11" s="245" t="s">
        <v>66</v>
      </c>
      <c r="U11" s="245" t="s">
        <v>328</v>
      </c>
      <c r="V11" s="245" t="s">
        <v>63</v>
      </c>
      <c r="W11" s="248" t="s">
        <v>64</v>
      </c>
      <c r="X11" s="254" t="str">
        <f>Blad2!B41</f>
        <v>V. Bottas</v>
      </c>
      <c r="Y11" s="255">
        <f>Blad2!C41</f>
        <v>9.848726851851852E-4</v>
      </c>
      <c r="Z11" s="250" t="s">
        <v>66</v>
      </c>
      <c r="AA11" s="139">
        <v>52</v>
      </c>
      <c r="AB11" s="162">
        <v>1.0112152777777778E-3</v>
      </c>
      <c r="AC11" s="166" t="s">
        <v>66</v>
      </c>
      <c r="AD11" s="233"/>
      <c r="AE11" s="233" t="s">
        <v>73</v>
      </c>
      <c r="AF11" s="233">
        <f>HLOOKUP(AC11,startgrid,11,0)</f>
        <v>2</v>
      </c>
      <c r="AG11" s="167">
        <v>5.6347824074074071E-2</v>
      </c>
      <c r="AH11" s="166" t="s">
        <v>350</v>
      </c>
      <c r="AI11" s="233"/>
      <c r="AJ11" s="233" t="s">
        <v>73</v>
      </c>
      <c r="AK11" s="233">
        <f>HLOOKUP(AH11,startgrid,11,0)</f>
        <v>1</v>
      </c>
      <c r="AL11" s="655" t="s">
        <v>682</v>
      </c>
      <c r="AM11" s="166" t="s">
        <v>500</v>
      </c>
      <c r="AN11" s="233"/>
      <c r="AO11" s="233" t="s">
        <v>73</v>
      </c>
      <c r="AP11" s="233">
        <f>HLOOKUP(AM11,startgrid,11,0)</f>
        <v>3</v>
      </c>
      <c r="AQ11" s="655" t="s">
        <v>683</v>
      </c>
      <c r="AR11" s="166" t="s">
        <v>496</v>
      </c>
      <c r="AS11" s="233"/>
      <c r="AT11" s="233" t="s">
        <v>73</v>
      </c>
      <c r="AU11" s="233">
        <f>HLOOKUP(AR11,startgrid,11,0)</f>
        <v>5</v>
      </c>
      <c r="AV11" s="655" t="s">
        <v>651</v>
      </c>
      <c r="AW11" s="166" t="s">
        <v>390</v>
      </c>
      <c r="AX11" s="233"/>
      <c r="AY11" s="233" t="s">
        <v>73</v>
      </c>
      <c r="AZ11" s="233">
        <f>HLOOKUP(AW11,startgrid,11,0)</f>
        <v>4</v>
      </c>
      <c r="BA11" s="655" t="s">
        <v>684</v>
      </c>
      <c r="BB11" s="166" t="s">
        <v>418</v>
      </c>
      <c r="BC11" s="233"/>
      <c r="BD11" s="233" t="s">
        <v>73</v>
      </c>
      <c r="BE11" s="233">
        <f>HLOOKUP(BB11,startgrid,11,0)</f>
        <v>13</v>
      </c>
      <c r="BF11" s="655" t="s">
        <v>685</v>
      </c>
      <c r="BG11" s="166" t="s">
        <v>348</v>
      </c>
      <c r="BH11" s="233"/>
      <c r="BI11" s="233" t="s">
        <v>73</v>
      </c>
      <c r="BJ11" s="233">
        <f>HLOOKUP(BG11,startgrid,11,0)</f>
        <v>7</v>
      </c>
      <c r="BK11" s="655" t="s">
        <v>686</v>
      </c>
      <c r="BL11" s="166" t="s">
        <v>63</v>
      </c>
      <c r="BM11" s="233"/>
      <c r="BN11" s="233" t="s">
        <v>73</v>
      </c>
      <c r="BO11" s="233">
        <f>HLOOKUP(BL11,startgrid,11,0)</f>
        <v>12</v>
      </c>
      <c r="BP11" s="655" t="s">
        <v>686</v>
      </c>
      <c r="BQ11" s="166" t="s">
        <v>365</v>
      </c>
      <c r="BR11" s="233"/>
      <c r="BS11" s="233" t="s">
        <v>73</v>
      </c>
      <c r="BT11" s="233">
        <f>HLOOKUP(BQ11,startgrid,11,0)</f>
        <v>17</v>
      </c>
      <c r="BU11" s="655" t="s">
        <v>687</v>
      </c>
      <c r="BV11" s="166" t="s">
        <v>329</v>
      </c>
      <c r="BW11" s="233"/>
      <c r="BX11" s="233" t="s">
        <v>73</v>
      </c>
      <c r="BY11" s="233">
        <f>HLOOKUP(BV11,startgrid,11,0)</f>
        <v>10</v>
      </c>
      <c r="BZ11" s="655" t="s">
        <v>688</v>
      </c>
      <c r="CA11" s="166" t="s">
        <v>529</v>
      </c>
      <c r="CB11" s="233"/>
      <c r="CC11" s="233" t="s">
        <v>73</v>
      </c>
      <c r="CD11" s="233">
        <f>HLOOKUP(CA11,startgrid,11,0)</f>
        <v>8</v>
      </c>
      <c r="CE11" s="655" t="s">
        <v>689</v>
      </c>
      <c r="CF11" s="166" t="s">
        <v>542</v>
      </c>
      <c r="CG11" s="233"/>
      <c r="CH11" s="233" t="s">
        <v>73</v>
      </c>
      <c r="CI11" s="233">
        <f>HLOOKUP(CF11,startgrid,11,0)</f>
        <v>9</v>
      </c>
      <c r="CJ11" s="655" t="s">
        <v>690</v>
      </c>
      <c r="CK11" s="166" t="s">
        <v>481</v>
      </c>
      <c r="CL11" s="233"/>
      <c r="CM11" s="233" t="s">
        <v>73</v>
      </c>
      <c r="CN11" s="233">
        <f>HLOOKUP(CK11,startgrid,11,0)</f>
        <v>18</v>
      </c>
      <c r="CO11" s="655" t="s">
        <v>691</v>
      </c>
      <c r="CP11" s="166" t="s">
        <v>549</v>
      </c>
      <c r="CQ11" s="233"/>
      <c r="CR11" s="233" t="s">
        <v>73</v>
      </c>
      <c r="CS11" s="233">
        <f>HLOOKUP(CP11,startgrid,11,0)</f>
        <v>19</v>
      </c>
      <c r="CT11" s="655" t="s">
        <v>615</v>
      </c>
      <c r="CU11" s="166" t="s">
        <v>528</v>
      </c>
      <c r="CV11" s="233"/>
      <c r="CW11" s="233" t="s">
        <v>73</v>
      </c>
      <c r="CX11" s="233">
        <f>HLOOKUP(CU11,startgrid,11,0)</f>
        <v>20</v>
      </c>
      <c r="CY11" s="655" t="s">
        <v>615</v>
      </c>
      <c r="CZ11" s="166" t="s">
        <v>67</v>
      </c>
      <c r="DA11" s="233" t="s">
        <v>618</v>
      </c>
      <c r="DB11" s="233" t="s">
        <v>73</v>
      </c>
      <c r="DC11" s="233">
        <f>HLOOKUP(CZ11,startgrid,11,0)</f>
        <v>6</v>
      </c>
      <c r="DD11" s="655" t="s">
        <v>615</v>
      </c>
      <c r="DE11" s="166" t="s">
        <v>347</v>
      </c>
      <c r="DF11" s="233"/>
      <c r="DG11" s="233" t="s">
        <v>73</v>
      </c>
      <c r="DH11" s="233">
        <f>HLOOKUP(DE11,startgrid,11,0)</f>
        <v>15</v>
      </c>
      <c r="DI11" s="655" t="s">
        <v>615</v>
      </c>
      <c r="DJ11" s="166" t="s">
        <v>497</v>
      </c>
      <c r="DK11" s="233"/>
      <c r="DL11" s="233" t="s">
        <v>73</v>
      </c>
      <c r="DM11" s="233">
        <f>HLOOKUP(DJ11,startgrid,11,0)</f>
        <v>11</v>
      </c>
      <c r="DN11" s="655" t="s">
        <v>282</v>
      </c>
      <c r="DO11" s="166" t="s">
        <v>349</v>
      </c>
      <c r="DP11" s="233"/>
      <c r="DQ11" s="233" t="s">
        <v>73</v>
      </c>
      <c r="DR11" s="233">
        <f>HLOOKUP(DO11,startgrid,11,0)</f>
        <v>14</v>
      </c>
      <c r="DS11" s="655" t="s">
        <v>282</v>
      </c>
      <c r="DT11" s="166" t="s">
        <v>369</v>
      </c>
      <c r="DU11" s="233"/>
      <c r="DV11" s="233" t="s">
        <v>73</v>
      </c>
      <c r="DW11" s="233">
        <f>HLOOKUP(DT11,startgrid,11,0)</f>
        <v>16</v>
      </c>
      <c r="DX11" s="655" t="s">
        <v>282</v>
      </c>
      <c r="DY11" s="166" t="s">
        <v>73</v>
      </c>
      <c r="DZ11" s="170"/>
      <c r="EA11" s="170" t="s">
        <v>73</v>
      </c>
      <c r="EB11" s="170" t="str">
        <f>HLOOKUP(DY11,startgrid,11,0)</f>
        <v>…</v>
      </c>
      <c r="EC11" s="167" t="s">
        <v>73</v>
      </c>
      <c r="ED11" s="166" t="s">
        <v>73</v>
      </c>
      <c r="EE11" s="170"/>
      <c r="EF11" s="170" t="s">
        <v>73</v>
      </c>
      <c r="EG11" s="170" t="str">
        <f>HLOOKUP(ED11,startgrid,11,0)</f>
        <v>…</v>
      </c>
      <c r="EH11" s="167" t="s">
        <v>73</v>
      </c>
      <c r="EI11" s="145">
        <f>Blad2!AT41</f>
        <v>1.0562152777777777E-3</v>
      </c>
      <c r="EJ11" s="588">
        <f t="shared" si="0"/>
        <v>1</v>
      </c>
      <c r="EK11" s="122"/>
    </row>
    <row r="12" spans="1:141" ht="15" customHeight="1" x14ac:dyDescent="0.2">
      <c r="A12" s="335" t="s">
        <v>82</v>
      </c>
      <c r="B12" s="339" t="s">
        <v>81</v>
      </c>
      <c r="C12" s="340">
        <v>43674</v>
      </c>
      <c r="D12" s="331" t="s">
        <v>81</v>
      </c>
      <c r="E12" s="215" t="s">
        <v>517</v>
      </c>
      <c r="F12" s="215" t="s">
        <v>516</v>
      </c>
      <c r="G12" s="216">
        <v>0.63194444444444442</v>
      </c>
      <c r="H12" s="216">
        <v>0.63194444444444442</v>
      </c>
      <c r="I12" s="218">
        <v>4.5739999999999998</v>
      </c>
      <c r="J12" s="224">
        <v>67</v>
      </c>
      <c r="K12" s="231" t="s">
        <v>63</v>
      </c>
      <c r="L12" s="227">
        <v>8.5393518518518511E-4</v>
      </c>
      <c r="M12" s="241">
        <v>2004</v>
      </c>
      <c r="N12" s="600">
        <v>2018</v>
      </c>
      <c r="O12" s="606" t="s">
        <v>67</v>
      </c>
      <c r="P12" s="245" t="s">
        <v>64</v>
      </c>
      <c r="Q12" s="607">
        <v>8.2421296296296312E-4</v>
      </c>
      <c r="R12" s="603" t="s">
        <v>66</v>
      </c>
      <c r="S12" s="245" t="s">
        <v>328</v>
      </c>
      <c r="T12" s="245" t="s">
        <v>350</v>
      </c>
      <c r="U12" s="245" t="s">
        <v>328</v>
      </c>
      <c r="V12" s="245" t="s">
        <v>63</v>
      </c>
      <c r="W12" s="248" t="s">
        <v>64</v>
      </c>
      <c r="X12" s="254" t="str">
        <f>Blad2!B45</f>
        <v>L. Hamilton</v>
      </c>
      <c r="Y12" s="255">
        <f>Blad2!C45</f>
        <v>8.3063657407407402E-4</v>
      </c>
      <c r="Z12" s="250" t="s">
        <v>390</v>
      </c>
      <c r="AA12" s="139">
        <v>61</v>
      </c>
      <c r="AB12" s="162">
        <v>8.870949074074073E-4</v>
      </c>
      <c r="AC12" s="166" t="s">
        <v>390</v>
      </c>
      <c r="AD12" s="233"/>
      <c r="AE12" s="233" t="s">
        <v>73</v>
      </c>
      <c r="AF12" s="233">
        <f>HLOOKUP(AC12,startgrid,12,0)</f>
        <v>2</v>
      </c>
      <c r="AG12" s="167">
        <v>7.2584201388888894E-2</v>
      </c>
      <c r="AH12" s="166" t="s">
        <v>67</v>
      </c>
      <c r="AI12" s="233"/>
      <c r="AJ12" s="233" t="s">
        <v>73</v>
      </c>
      <c r="AK12" s="233">
        <f>HLOOKUP(AH12,startgrid,12,0)</f>
        <v>20</v>
      </c>
      <c r="AL12" s="655" t="s">
        <v>692</v>
      </c>
      <c r="AM12" s="166" t="s">
        <v>365</v>
      </c>
      <c r="AN12" s="233"/>
      <c r="AO12" s="233" t="s">
        <v>73</v>
      </c>
      <c r="AP12" s="233">
        <f>HLOOKUP(AM12,startgrid,12,0)</f>
        <v>14</v>
      </c>
      <c r="AQ12" s="655" t="s">
        <v>693</v>
      </c>
      <c r="AR12" s="166" t="s">
        <v>481</v>
      </c>
      <c r="AS12" s="233"/>
      <c r="AT12" s="233" t="s">
        <v>73</v>
      </c>
      <c r="AU12" s="233">
        <f>HLOOKUP(AR12,startgrid,12,0)</f>
        <v>15</v>
      </c>
      <c r="AV12" s="655" t="s">
        <v>694</v>
      </c>
      <c r="AW12" s="166" t="s">
        <v>418</v>
      </c>
      <c r="AX12" s="233"/>
      <c r="AY12" s="233" t="s">
        <v>73</v>
      </c>
      <c r="AZ12" s="233">
        <f>HLOOKUP(AW12,startgrid,12,0)</f>
        <v>7</v>
      </c>
      <c r="BA12" s="655" t="s">
        <v>695</v>
      </c>
      <c r="BB12" s="166" t="s">
        <v>542</v>
      </c>
      <c r="BC12" s="233"/>
      <c r="BD12" s="233" t="s">
        <v>73</v>
      </c>
      <c r="BE12" s="233">
        <f>HLOOKUP(BB12,startgrid,12,0)</f>
        <v>16</v>
      </c>
      <c r="BF12" s="655" t="s">
        <v>696</v>
      </c>
      <c r="BG12" s="166" t="s">
        <v>349</v>
      </c>
      <c r="BH12" s="233"/>
      <c r="BI12" s="233" t="s">
        <v>73</v>
      </c>
      <c r="BJ12" s="233">
        <f>HLOOKUP(BG12,startgrid,12,0)</f>
        <v>6</v>
      </c>
      <c r="BK12" s="655" t="s">
        <v>697</v>
      </c>
      <c r="BL12" s="166" t="s">
        <v>369</v>
      </c>
      <c r="BM12" s="233"/>
      <c r="BN12" s="233" t="s">
        <v>73</v>
      </c>
      <c r="BO12" s="233">
        <f>HLOOKUP(BL12,startgrid,12,0)</f>
        <v>12</v>
      </c>
      <c r="BP12" s="655" t="s">
        <v>698</v>
      </c>
      <c r="BQ12" s="166" t="s">
        <v>66</v>
      </c>
      <c r="BR12" s="233"/>
      <c r="BS12" s="233" t="s">
        <v>73</v>
      </c>
      <c r="BT12" s="233">
        <f>HLOOKUP(BQ12,startgrid,12,0)</f>
        <v>1</v>
      </c>
      <c r="BU12" s="655" t="s">
        <v>680</v>
      </c>
      <c r="BV12" s="166" t="s">
        <v>528</v>
      </c>
      <c r="BW12" s="233"/>
      <c r="BX12" s="233" t="s">
        <v>73</v>
      </c>
      <c r="BY12" s="233">
        <f>HLOOKUP(BV12,startgrid,12,0)</f>
        <v>18</v>
      </c>
      <c r="BZ12" s="655" t="s">
        <v>682</v>
      </c>
      <c r="CA12" s="166" t="s">
        <v>549</v>
      </c>
      <c r="CB12" s="233"/>
      <c r="CC12" s="233" t="s">
        <v>73</v>
      </c>
      <c r="CD12" s="233">
        <f>HLOOKUP(CA12,startgrid,12,0)</f>
        <v>17</v>
      </c>
      <c r="CE12" s="655" t="s">
        <v>699</v>
      </c>
      <c r="CF12" s="166" t="s">
        <v>63</v>
      </c>
      <c r="CG12" s="233" t="s">
        <v>618</v>
      </c>
      <c r="CH12" s="233" t="s">
        <v>73</v>
      </c>
      <c r="CI12" s="233">
        <f>HLOOKUP(CF12,startgrid,12,0)</f>
        <v>5</v>
      </c>
      <c r="CJ12" s="655" t="s">
        <v>700</v>
      </c>
      <c r="CK12" s="166" t="s">
        <v>497</v>
      </c>
      <c r="CL12" s="233" t="s">
        <v>618</v>
      </c>
      <c r="CM12" s="233" t="s">
        <v>73</v>
      </c>
      <c r="CN12" s="233">
        <f>HLOOKUP(CK12,startgrid,12,0)</f>
        <v>11</v>
      </c>
      <c r="CO12" s="655" t="s">
        <v>701</v>
      </c>
      <c r="CP12" s="166" t="s">
        <v>496</v>
      </c>
      <c r="CQ12" s="233"/>
      <c r="CR12" s="233" t="s">
        <v>73</v>
      </c>
      <c r="CS12" s="233">
        <f>HLOOKUP(CP12,startgrid,12,0)</f>
        <v>4</v>
      </c>
      <c r="CT12" s="655" t="s">
        <v>282</v>
      </c>
      <c r="CU12" s="166" t="s">
        <v>350</v>
      </c>
      <c r="CV12" s="233"/>
      <c r="CW12" s="233" t="s">
        <v>73</v>
      </c>
      <c r="CX12" s="233">
        <f>HLOOKUP(CU12,startgrid,12,0)</f>
        <v>3</v>
      </c>
      <c r="CY12" s="655" t="s">
        <v>282</v>
      </c>
      <c r="CZ12" s="166" t="s">
        <v>329</v>
      </c>
      <c r="DA12" s="233"/>
      <c r="DB12" s="233" t="s">
        <v>73</v>
      </c>
      <c r="DC12" s="233">
        <f>HLOOKUP(CZ12,startgrid,12,0)</f>
        <v>9</v>
      </c>
      <c r="DD12" s="655" t="s">
        <v>282</v>
      </c>
      <c r="DE12" s="166" t="s">
        <v>500</v>
      </c>
      <c r="DF12" s="233"/>
      <c r="DG12" s="233" t="s">
        <v>73</v>
      </c>
      <c r="DH12" s="233">
        <f>HLOOKUP(DE12,startgrid,12,0)</f>
        <v>10</v>
      </c>
      <c r="DI12" s="655" t="s">
        <v>282</v>
      </c>
      <c r="DJ12" s="166" t="s">
        <v>529</v>
      </c>
      <c r="DK12" s="233"/>
      <c r="DL12" s="233" t="s">
        <v>73</v>
      </c>
      <c r="DM12" s="233">
        <f>HLOOKUP(DJ12,startgrid,12,0)</f>
        <v>19</v>
      </c>
      <c r="DN12" s="655" t="s">
        <v>282</v>
      </c>
      <c r="DO12" s="166" t="s">
        <v>348</v>
      </c>
      <c r="DP12" s="233"/>
      <c r="DQ12" s="233" t="s">
        <v>73</v>
      </c>
      <c r="DR12" s="233">
        <f>HLOOKUP(DO12,startgrid,12,0)</f>
        <v>13</v>
      </c>
      <c r="DS12" s="655" t="s">
        <v>282</v>
      </c>
      <c r="DT12" s="166" t="s">
        <v>347</v>
      </c>
      <c r="DU12" s="233"/>
      <c r="DV12" s="233" t="s">
        <v>73</v>
      </c>
      <c r="DW12" s="233">
        <f>HLOOKUP(DT12,startgrid,12,0)</f>
        <v>8</v>
      </c>
      <c r="DX12" s="655" t="s">
        <v>282</v>
      </c>
      <c r="DY12" s="166" t="s">
        <v>73</v>
      </c>
      <c r="DZ12" s="170"/>
      <c r="EA12" s="170" t="s">
        <v>73</v>
      </c>
      <c r="EB12" s="170" t="str">
        <f>HLOOKUP(DY12,startgrid,12,0)</f>
        <v>…</v>
      </c>
      <c r="EC12" s="167" t="s">
        <v>73</v>
      </c>
      <c r="ED12" s="166" t="s">
        <v>73</v>
      </c>
      <c r="EE12" s="170"/>
      <c r="EF12" s="170" t="s">
        <v>73</v>
      </c>
      <c r="EG12" s="170" t="str">
        <f>HLOOKUP(ED12,startgrid,12,0)</f>
        <v>…</v>
      </c>
      <c r="EH12" s="167" t="s">
        <v>73</v>
      </c>
      <c r="EI12" s="145">
        <f>Blad2!AT45</f>
        <v>8.9450231481481466E-4</v>
      </c>
      <c r="EJ12" s="588">
        <f t="shared" si="0"/>
        <v>1</v>
      </c>
      <c r="EK12" s="122"/>
    </row>
    <row r="13" spans="1:141" ht="15" customHeight="1" x14ac:dyDescent="0.2">
      <c r="A13" s="335" t="s">
        <v>84</v>
      </c>
      <c r="B13" s="341" t="s">
        <v>83</v>
      </c>
      <c r="C13" s="340">
        <v>43681</v>
      </c>
      <c r="D13" s="629" t="s">
        <v>83</v>
      </c>
      <c r="E13" s="157" t="s">
        <v>433</v>
      </c>
      <c r="F13" s="215" t="s">
        <v>451</v>
      </c>
      <c r="G13" s="216">
        <v>0.63194444444444442</v>
      </c>
      <c r="H13" s="216">
        <v>0.63194444444444442</v>
      </c>
      <c r="I13" s="217">
        <v>4.3810000000000002</v>
      </c>
      <c r="J13" s="224">
        <v>70</v>
      </c>
      <c r="K13" s="231" t="s">
        <v>531</v>
      </c>
      <c r="L13" s="227">
        <v>9.1517361111111107E-4</v>
      </c>
      <c r="M13" s="241">
        <v>2004</v>
      </c>
      <c r="N13" s="600">
        <v>2018</v>
      </c>
      <c r="O13" s="606" t="s">
        <v>66</v>
      </c>
      <c r="P13" s="245" t="s">
        <v>328</v>
      </c>
      <c r="Q13" s="607">
        <v>1.1071527777777779E-3</v>
      </c>
      <c r="R13" s="603" t="s">
        <v>66</v>
      </c>
      <c r="S13" s="245" t="s">
        <v>328</v>
      </c>
      <c r="T13" s="245" t="s">
        <v>67</v>
      </c>
      <c r="U13" s="245" t="s">
        <v>64</v>
      </c>
      <c r="V13" s="245" t="s">
        <v>63</v>
      </c>
      <c r="W13" s="248" t="s">
        <v>64</v>
      </c>
      <c r="X13" s="254" t="str">
        <f>Blad2!B49</f>
        <v>M. Verstappen</v>
      </c>
      <c r="Y13" s="255">
        <f>Blad2!C49</f>
        <v>8.6310185185185177E-4</v>
      </c>
      <c r="Z13" s="250" t="s">
        <v>390</v>
      </c>
      <c r="AA13" s="139">
        <v>69</v>
      </c>
      <c r="AB13" s="162">
        <v>8.9239583333333326E-4</v>
      </c>
      <c r="AC13" s="166" t="s">
        <v>66</v>
      </c>
      <c r="AD13" s="233"/>
      <c r="AE13" s="233" t="s">
        <v>73</v>
      </c>
      <c r="AF13" s="233">
        <f>HLOOKUP(AC13,startgrid,13,0)</f>
        <v>3</v>
      </c>
      <c r="AG13" s="167">
        <v>6.6016157407407405E-2</v>
      </c>
      <c r="AH13" s="166" t="s">
        <v>390</v>
      </c>
      <c r="AI13" s="233"/>
      <c r="AJ13" s="233" t="s">
        <v>73</v>
      </c>
      <c r="AK13" s="233">
        <f>HLOOKUP(AH13,startgrid,13,0)</f>
        <v>1</v>
      </c>
      <c r="AL13" s="655" t="s">
        <v>702</v>
      </c>
      <c r="AM13" s="166" t="s">
        <v>67</v>
      </c>
      <c r="AN13" s="233"/>
      <c r="AO13" s="233" t="s">
        <v>73</v>
      </c>
      <c r="AP13" s="233">
        <f>HLOOKUP(AM13,startgrid,13,0)</f>
        <v>5</v>
      </c>
      <c r="AQ13" s="655" t="s">
        <v>703</v>
      </c>
      <c r="AR13" s="166" t="s">
        <v>500</v>
      </c>
      <c r="AS13" s="233"/>
      <c r="AT13" s="233" t="s">
        <v>73</v>
      </c>
      <c r="AU13" s="233">
        <f>HLOOKUP(AR13,startgrid,13,0)</f>
        <v>4</v>
      </c>
      <c r="AV13" s="655" t="s">
        <v>704</v>
      </c>
      <c r="AW13" s="166" t="s">
        <v>418</v>
      </c>
      <c r="AX13" s="233"/>
      <c r="AY13" s="233" t="s">
        <v>73</v>
      </c>
      <c r="AZ13" s="233">
        <f>HLOOKUP(AW13,startgrid,13,0)</f>
        <v>8</v>
      </c>
      <c r="BA13" s="655" t="s">
        <v>615</v>
      </c>
      <c r="BB13" s="166" t="s">
        <v>496</v>
      </c>
      <c r="BC13" s="233"/>
      <c r="BD13" s="233" t="s">
        <v>73</v>
      </c>
      <c r="BE13" s="233">
        <f>HLOOKUP(BB13,startgrid,13,0)</f>
        <v>6</v>
      </c>
      <c r="BF13" s="655" t="s">
        <v>615</v>
      </c>
      <c r="BG13" s="166" t="s">
        <v>63</v>
      </c>
      <c r="BH13" s="233"/>
      <c r="BI13" s="233" t="s">
        <v>73</v>
      </c>
      <c r="BJ13" s="233">
        <f>HLOOKUP(BG13,startgrid,13,0)</f>
        <v>10</v>
      </c>
      <c r="BK13" s="655" t="s">
        <v>615</v>
      </c>
      <c r="BL13" s="166" t="s">
        <v>350</v>
      </c>
      <c r="BM13" s="233"/>
      <c r="BN13" s="233" t="s">
        <v>73</v>
      </c>
      <c r="BO13" s="233">
        <f>HLOOKUP(BL13,startgrid,13,0)</f>
        <v>2</v>
      </c>
      <c r="BP13" s="655" t="s">
        <v>615</v>
      </c>
      <c r="BQ13" s="166" t="s">
        <v>529</v>
      </c>
      <c r="BR13" s="233"/>
      <c r="BS13" s="233" t="s">
        <v>73</v>
      </c>
      <c r="BT13" s="233">
        <f>HLOOKUP(BQ13,startgrid,13,0)</f>
        <v>7</v>
      </c>
      <c r="BU13" s="655" t="s">
        <v>615</v>
      </c>
      <c r="BV13" s="166" t="s">
        <v>542</v>
      </c>
      <c r="BW13" s="233"/>
      <c r="BX13" s="233" t="s">
        <v>73</v>
      </c>
      <c r="BY13" s="233">
        <f>HLOOKUP(BV13,startgrid,13,0)</f>
        <v>12</v>
      </c>
      <c r="BZ13" s="655" t="s">
        <v>615</v>
      </c>
      <c r="CA13" s="166" t="s">
        <v>347</v>
      </c>
      <c r="CB13" s="233"/>
      <c r="CC13" s="233" t="s">
        <v>73</v>
      </c>
      <c r="CD13" s="233">
        <f>HLOOKUP(CA13,startgrid,13,0)</f>
        <v>16</v>
      </c>
      <c r="CE13" s="655" t="s">
        <v>615</v>
      </c>
      <c r="CF13" s="166" t="s">
        <v>329</v>
      </c>
      <c r="CG13" s="233"/>
      <c r="CH13" s="233" t="s">
        <v>73</v>
      </c>
      <c r="CI13" s="233">
        <f>HLOOKUP(CF13,startgrid,13,0)</f>
        <v>11</v>
      </c>
      <c r="CJ13" s="655" t="s">
        <v>615</v>
      </c>
      <c r="CK13" s="166" t="s">
        <v>369</v>
      </c>
      <c r="CL13" s="233"/>
      <c r="CM13" s="233" t="s">
        <v>73</v>
      </c>
      <c r="CN13" s="233">
        <f>HLOOKUP(CK13,startgrid,13,0)</f>
        <v>14</v>
      </c>
      <c r="CO13" s="655" t="s">
        <v>615</v>
      </c>
      <c r="CP13" s="166" t="s">
        <v>348</v>
      </c>
      <c r="CQ13" s="233"/>
      <c r="CR13" s="233" t="s">
        <v>73</v>
      </c>
      <c r="CS13" s="233">
        <f>HLOOKUP(CP13,startgrid,13,0)</f>
        <v>20</v>
      </c>
      <c r="CT13" s="655" t="s">
        <v>615</v>
      </c>
      <c r="CU13" s="166" t="s">
        <v>365</v>
      </c>
      <c r="CV13" s="233"/>
      <c r="CW13" s="233" t="s">
        <v>73</v>
      </c>
      <c r="CX13" s="233">
        <f>HLOOKUP(CU13,startgrid,13,0)</f>
        <v>13</v>
      </c>
      <c r="CY13" s="655" t="s">
        <v>616</v>
      </c>
      <c r="CZ13" s="166" t="s">
        <v>549</v>
      </c>
      <c r="DA13" s="233"/>
      <c r="DB13" s="233" t="s">
        <v>73</v>
      </c>
      <c r="DC13" s="233">
        <f>HLOOKUP(CZ13,startgrid,13,0)</f>
        <v>15</v>
      </c>
      <c r="DD13" s="655" t="s">
        <v>616</v>
      </c>
      <c r="DE13" s="166" t="s">
        <v>481</v>
      </c>
      <c r="DF13" s="233"/>
      <c r="DG13" s="233" t="s">
        <v>73</v>
      </c>
      <c r="DH13" s="233">
        <f>HLOOKUP(DE13,startgrid,13,0)</f>
        <v>18</v>
      </c>
      <c r="DI13" s="655" t="s">
        <v>616</v>
      </c>
      <c r="DJ13" s="166" t="s">
        <v>497</v>
      </c>
      <c r="DK13" s="233"/>
      <c r="DL13" s="233" t="s">
        <v>73</v>
      </c>
      <c r="DM13" s="233">
        <f>HLOOKUP(DJ13,startgrid,13,0)</f>
        <v>17</v>
      </c>
      <c r="DN13" s="655" t="s">
        <v>616</v>
      </c>
      <c r="DO13" s="166" t="s">
        <v>528</v>
      </c>
      <c r="DP13" s="233"/>
      <c r="DQ13" s="233" t="s">
        <v>73</v>
      </c>
      <c r="DR13" s="233">
        <f>HLOOKUP(DO13,startgrid,13,0)</f>
        <v>19</v>
      </c>
      <c r="DS13" s="655" t="s">
        <v>617</v>
      </c>
      <c r="DT13" s="166" t="s">
        <v>349</v>
      </c>
      <c r="DU13" s="233"/>
      <c r="DV13" s="233" t="s">
        <v>73</v>
      </c>
      <c r="DW13" s="233">
        <f>HLOOKUP(DT13,startgrid,13,0)</f>
        <v>9</v>
      </c>
      <c r="DX13" s="655" t="s">
        <v>282</v>
      </c>
      <c r="DY13" s="166" t="s">
        <v>73</v>
      </c>
      <c r="DZ13" s="170"/>
      <c r="EA13" s="170" t="s">
        <v>73</v>
      </c>
      <c r="EB13" s="170" t="str">
        <f>HLOOKUP(DY13,startgrid,13,0)</f>
        <v>…</v>
      </c>
      <c r="EC13" s="167" t="s">
        <v>73</v>
      </c>
      <c r="ED13" s="166" t="s">
        <v>73</v>
      </c>
      <c r="EE13" s="170"/>
      <c r="EF13" s="170" t="s">
        <v>73</v>
      </c>
      <c r="EG13" s="170" t="str">
        <f>HLOOKUP(ED13,startgrid,13,0)</f>
        <v>…</v>
      </c>
      <c r="EH13" s="167" t="s">
        <v>73</v>
      </c>
      <c r="EI13" s="145">
        <f>Blad2!AT49</f>
        <v>9.3893518518518512E-4</v>
      </c>
      <c r="EJ13" s="588">
        <f t="shared" si="0"/>
        <v>1</v>
      </c>
      <c r="EK13" s="122"/>
    </row>
    <row r="14" spans="1:141" ht="15" customHeight="1" x14ac:dyDescent="0.2">
      <c r="A14" s="335" t="s">
        <v>85</v>
      </c>
      <c r="B14" s="341" t="s">
        <v>86</v>
      </c>
      <c r="C14" s="340">
        <v>43709</v>
      </c>
      <c r="D14" s="629" t="s">
        <v>86</v>
      </c>
      <c r="E14" s="157" t="s">
        <v>452</v>
      </c>
      <c r="F14" s="215" t="s">
        <v>491</v>
      </c>
      <c r="G14" s="216">
        <v>0.63194444444444442</v>
      </c>
      <c r="H14" s="216">
        <v>0.63194444444444442</v>
      </c>
      <c r="I14" s="217">
        <v>7.0039999999999996</v>
      </c>
      <c r="J14" s="224">
        <v>44</v>
      </c>
      <c r="K14" s="231" t="s">
        <v>350</v>
      </c>
      <c r="L14" s="227">
        <v>1.2301620370370372E-3</v>
      </c>
      <c r="M14" s="241">
        <v>2018</v>
      </c>
      <c r="N14" s="600">
        <v>2018</v>
      </c>
      <c r="O14" s="606" t="s">
        <v>66</v>
      </c>
      <c r="P14" s="245" t="s">
        <v>328</v>
      </c>
      <c r="Q14" s="607">
        <v>1.3678125000000001E-3</v>
      </c>
      <c r="R14" s="603" t="s">
        <v>67</v>
      </c>
      <c r="S14" s="245" t="s">
        <v>64</v>
      </c>
      <c r="T14" s="245" t="s">
        <v>66</v>
      </c>
      <c r="U14" s="245" t="s">
        <v>328</v>
      </c>
      <c r="V14" s="245" t="s">
        <v>390</v>
      </c>
      <c r="W14" s="248" t="s">
        <v>401</v>
      </c>
      <c r="X14" s="254" t="str">
        <f>Blad2!B53</f>
        <v>C. Leclerc</v>
      </c>
      <c r="Y14" s="255">
        <f>Blad2!C53</f>
        <v>1.1865624999999999E-3</v>
      </c>
      <c r="Z14" s="250" t="s">
        <v>67</v>
      </c>
      <c r="AA14" s="139">
        <v>36</v>
      </c>
      <c r="AB14" s="162">
        <v>1.2315856481481481E-3</v>
      </c>
      <c r="AC14" s="166" t="s">
        <v>500</v>
      </c>
      <c r="AD14" s="233"/>
      <c r="AE14" s="233" t="s">
        <v>73</v>
      </c>
      <c r="AF14" s="233">
        <f>HLOOKUP(AC14,startgrid,14,0)</f>
        <v>1</v>
      </c>
      <c r="AG14" s="167">
        <v>5.8167939814814808E-2</v>
      </c>
      <c r="AH14" s="166" t="s">
        <v>66</v>
      </c>
      <c r="AI14" s="233"/>
      <c r="AJ14" s="233" t="s">
        <v>73</v>
      </c>
      <c r="AK14" s="233">
        <f>HLOOKUP(AH14,startgrid,14,0)</f>
        <v>3</v>
      </c>
      <c r="AL14" s="655" t="s">
        <v>707</v>
      </c>
      <c r="AM14" s="166" t="s">
        <v>350</v>
      </c>
      <c r="AN14" s="233"/>
      <c r="AO14" s="233" t="s">
        <v>73</v>
      </c>
      <c r="AP14" s="233">
        <f>HLOOKUP(AM14,startgrid,14,0)</f>
        <v>4</v>
      </c>
      <c r="AQ14" s="655" t="s">
        <v>708</v>
      </c>
      <c r="AR14" s="166" t="s">
        <v>67</v>
      </c>
      <c r="AS14" s="233"/>
      <c r="AT14" s="233" t="s">
        <v>73</v>
      </c>
      <c r="AU14" s="233">
        <f>HLOOKUP(AR14,startgrid,14,0)</f>
        <v>2</v>
      </c>
      <c r="AV14" s="655" t="s">
        <v>699</v>
      </c>
      <c r="AW14" s="166" t="s">
        <v>705</v>
      </c>
      <c r="AX14" s="233"/>
      <c r="AY14" s="233" t="s">
        <v>73</v>
      </c>
      <c r="AZ14" s="233">
        <f>HLOOKUP(AW14,startgrid,14,0)</f>
        <v>17</v>
      </c>
      <c r="BA14" s="655" t="s">
        <v>709</v>
      </c>
      <c r="BB14" s="166" t="s">
        <v>347</v>
      </c>
      <c r="BC14" s="233"/>
      <c r="BD14" s="233" t="s">
        <v>73</v>
      </c>
      <c r="BE14" s="233">
        <f>HLOOKUP(BB14,startgrid,14,0)</f>
        <v>7</v>
      </c>
      <c r="BF14" s="655" t="s">
        <v>710</v>
      </c>
      <c r="BG14" s="166" t="s">
        <v>365</v>
      </c>
      <c r="BH14" s="233"/>
      <c r="BI14" s="233" t="s">
        <v>73</v>
      </c>
      <c r="BJ14" s="233">
        <f>HLOOKUP(BG14,startgrid,14,0)</f>
        <v>19</v>
      </c>
      <c r="BK14" s="655" t="s">
        <v>711</v>
      </c>
      <c r="BL14" s="166" t="s">
        <v>329</v>
      </c>
      <c r="BM14" s="233"/>
      <c r="BN14" s="233" t="s">
        <v>73</v>
      </c>
      <c r="BO14" s="233">
        <f>HLOOKUP(BL14,startgrid,14,0)</f>
        <v>12</v>
      </c>
      <c r="BP14" s="655" t="s">
        <v>712</v>
      </c>
      <c r="BQ14" s="166" t="s">
        <v>706</v>
      </c>
      <c r="BR14" s="233"/>
      <c r="BS14" s="233" t="s">
        <v>73</v>
      </c>
      <c r="BT14" s="233">
        <f>HLOOKUP(BQ14,startgrid,14,0)</f>
        <v>13</v>
      </c>
      <c r="BU14" s="655" t="s">
        <v>713</v>
      </c>
      <c r="BV14" s="166" t="s">
        <v>481</v>
      </c>
      <c r="BW14" s="233"/>
      <c r="BX14" s="233" t="s">
        <v>73</v>
      </c>
      <c r="BY14" s="233">
        <f>HLOOKUP(BV14,startgrid,14,0)</f>
        <v>16</v>
      </c>
      <c r="BZ14" s="655" t="s">
        <v>714</v>
      </c>
      <c r="CA14" s="166" t="s">
        <v>529</v>
      </c>
      <c r="CB14" s="233"/>
      <c r="CC14" s="233" t="s">
        <v>73</v>
      </c>
      <c r="CD14" s="233">
        <f>HLOOKUP(CA14,startgrid,14,0)</f>
        <v>11</v>
      </c>
      <c r="CE14" s="655" t="s">
        <v>615</v>
      </c>
      <c r="CF14" s="166" t="s">
        <v>369</v>
      </c>
      <c r="CG14" s="233"/>
      <c r="CH14" s="233" t="s">
        <v>73</v>
      </c>
      <c r="CI14" s="233">
        <f>HLOOKUP(CF14,startgrid,14,0)</f>
        <v>8</v>
      </c>
      <c r="CJ14" s="655" t="s">
        <v>615</v>
      </c>
      <c r="CK14" s="166" t="s">
        <v>349</v>
      </c>
      <c r="CL14" s="233"/>
      <c r="CM14" s="233" t="s">
        <v>73</v>
      </c>
      <c r="CN14" s="233">
        <f>HLOOKUP(CK14,startgrid,14,0)</f>
        <v>9</v>
      </c>
      <c r="CO14" s="655" t="s">
        <v>615</v>
      </c>
      <c r="CP14" s="166" t="s">
        <v>348</v>
      </c>
      <c r="CQ14" s="233"/>
      <c r="CR14" s="233" t="s">
        <v>73</v>
      </c>
      <c r="CS14" s="233">
        <f>HLOOKUP(CP14,startgrid,14,0)</f>
        <v>10</v>
      </c>
      <c r="CT14" s="655" t="s">
        <v>615</v>
      </c>
      <c r="CU14" s="166" t="s">
        <v>549</v>
      </c>
      <c r="CV14" s="233"/>
      <c r="CW14" s="233" t="s">
        <v>73</v>
      </c>
      <c r="CX14" s="233">
        <f>HLOOKUP(CU14,startgrid,14,0)</f>
        <v>14</v>
      </c>
      <c r="CY14" s="655" t="s">
        <v>615</v>
      </c>
      <c r="CZ14" s="166" t="s">
        <v>63</v>
      </c>
      <c r="DA14" s="233"/>
      <c r="DB14" s="233" t="s">
        <v>73</v>
      </c>
      <c r="DC14" s="233">
        <f>HLOOKUP(CZ14,startgrid,14,0)</f>
        <v>6</v>
      </c>
      <c r="DD14" s="655" t="s">
        <v>615</v>
      </c>
      <c r="DE14" s="166" t="s">
        <v>528</v>
      </c>
      <c r="DF14" s="233"/>
      <c r="DG14" s="233" t="s">
        <v>73</v>
      </c>
      <c r="DH14" s="233">
        <f>HLOOKUP(DE14,startgrid,14,0)</f>
        <v>20</v>
      </c>
      <c r="DI14" s="655" t="s">
        <v>615</v>
      </c>
      <c r="DJ14" s="166" t="s">
        <v>497</v>
      </c>
      <c r="DK14" s="233"/>
      <c r="DL14" s="233" t="s">
        <v>73</v>
      </c>
      <c r="DM14" s="233">
        <f>HLOOKUP(DJ14,startgrid,14,0)</f>
        <v>18</v>
      </c>
      <c r="DN14" s="655" t="s">
        <v>282</v>
      </c>
      <c r="DO14" s="166" t="s">
        <v>418</v>
      </c>
      <c r="DP14" s="233"/>
      <c r="DQ14" s="233" t="s">
        <v>73</v>
      </c>
      <c r="DR14" s="233">
        <f>HLOOKUP(DO14,startgrid,14,0)</f>
        <v>15</v>
      </c>
      <c r="DS14" s="655" t="s">
        <v>282</v>
      </c>
      <c r="DT14" s="166" t="s">
        <v>390</v>
      </c>
      <c r="DU14" s="233"/>
      <c r="DV14" s="233" t="s">
        <v>73</v>
      </c>
      <c r="DW14" s="233">
        <f>HLOOKUP(DT14,startgrid,14,0)</f>
        <v>5</v>
      </c>
      <c r="DX14" s="655" t="s">
        <v>282</v>
      </c>
      <c r="DY14" s="166" t="s">
        <v>73</v>
      </c>
      <c r="DZ14" s="170"/>
      <c r="EA14" s="170" t="s">
        <v>73</v>
      </c>
      <c r="EB14" s="170" t="str">
        <f>HLOOKUP(DY14,startgrid,14,0)</f>
        <v>…</v>
      </c>
      <c r="EC14" s="167" t="s">
        <v>73</v>
      </c>
      <c r="ED14" s="166" t="s">
        <v>73</v>
      </c>
      <c r="EE14" s="170"/>
      <c r="EF14" s="170" t="s">
        <v>73</v>
      </c>
      <c r="EG14" s="170" t="str">
        <f>HLOOKUP(ED14,startgrid,14,0)</f>
        <v>…</v>
      </c>
      <c r="EH14" s="167" t="s">
        <v>73</v>
      </c>
      <c r="EI14" s="145">
        <f>Blad2!AT53</f>
        <v>1.2828472222222223E-3</v>
      </c>
      <c r="EJ14" s="588">
        <f t="shared" si="0"/>
        <v>1</v>
      </c>
      <c r="EK14" s="122"/>
    </row>
    <row r="15" spans="1:141" ht="15" customHeight="1" x14ac:dyDescent="0.2">
      <c r="A15" s="335" t="s">
        <v>87</v>
      </c>
      <c r="B15" s="341" t="s">
        <v>88</v>
      </c>
      <c r="C15" s="340">
        <v>43716</v>
      </c>
      <c r="D15" s="629" t="s">
        <v>88</v>
      </c>
      <c r="E15" s="157" t="s">
        <v>339</v>
      </c>
      <c r="F15" s="215" t="s">
        <v>492</v>
      </c>
      <c r="G15" s="216">
        <v>0.63194444444444442</v>
      </c>
      <c r="H15" s="216">
        <v>0.63194444444444442</v>
      </c>
      <c r="I15" s="217">
        <v>5.7930000000000001</v>
      </c>
      <c r="J15" s="224">
        <v>53</v>
      </c>
      <c r="K15" s="231" t="s">
        <v>532</v>
      </c>
      <c r="L15" s="227">
        <v>9.3803240740740739E-4</v>
      </c>
      <c r="M15" s="241">
        <v>2004</v>
      </c>
      <c r="N15" s="600">
        <v>2018</v>
      </c>
      <c r="O15" s="606" t="s">
        <v>63</v>
      </c>
      <c r="P15" s="245" t="s">
        <v>64</v>
      </c>
      <c r="Q15" s="607">
        <v>9.1572916666666658E-4</v>
      </c>
      <c r="R15" s="603" t="s">
        <v>66</v>
      </c>
      <c r="S15" s="245" t="s">
        <v>328</v>
      </c>
      <c r="T15" s="245" t="s">
        <v>63</v>
      </c>
      <c r="U15" s="245" t="s">
        <v>64</v>
      </c>
      <c r="V15" s="245" t="s">
        <v>350</v>
      </c>
      <c r="W15" s="248" t="s">
        <v>328</v>
      </c>
      <c r="X15" s="254" t="str">
        <f>Blad2!B57</f>
        <v>C. Leclerc</v>
      </c>
      <c r="Y15" s="255">
        <f>Blad2!C57</f>
        <v>9.1790509259259256E-4</v>
      </c>
      <c r="Z15" s="250" t="s">
        <v>66</v>
      </c>
      <c r="AA15" s="139">
        <v>51</v>
      </c>
      <c r="AB15" s="162">
        <v>9.4651620370370365E-4</v>
      </c>
      <c r="AC15" s="166" t="s">
        <v>500</v>
      </c>
      <c r="AD15" s="233"/>
      <c r="AE15" s="233" t="s">
        <v>73</v>
      </c>
      <c r="AF15" s="233">
        <f>HLOOKUP(AC15,startgrid,15,0)</f>
        <v>1</v>
      </c>
      <c r="AG15" s="167">
        <v>5.2391956018518517E-2</v>
      </c>
      <c r="AH15" s="166" t="s">
        <v>350</v>
      </c>
      <c r="AI15" s="233"/>
      <c r="AJ15" s="233" t="s">
        <v>73</v>
      </c>
      <c r="AK15" s="233">
        <f>HLOOKUP(AH15,startgrid,15,0)</f>
        <v>3</v>
      </c>
      <c r="AL15" s="655" t="s">
        <v>715</v>
      </c>
      <c r="AM15" s="166" t="s">
        <v>66</v>
      </c>
      <c r="AN15" s="233"/>
      <c r="AO15" s="233" t="s">
        <v>73</v>
      </c>
      <c r="AP15" s="233">
        <f>HLOOKUP(AM15,startgrid,15,0)</f>
        <v>2</v>
      </c>
      <c r="AQ15" s="655" t="s">
        <v>716</v>
      </c>
      <c r="AR15" s="166" t="s">
        <v>348</v>
      </c>
      <c r="AS15" s="233"/>
      <c r="AT15" s="233" t="s">
        <v>73</v>
      </c>
      <c r="AU15" s="233">
        <f>HLOOKUP(AR15,startgrid,15,0)</f>
        <v>5</v>
      </c>
      <c r="AV15" s="655" t="s">
        <v>717</v>
      </c>
      <c r="AW15" s="166" t="s">
        <v>329</v>
      </c>
      <c r="AX15" s="233"/>
      <c r="AY15" s="233" t="s">
        <v>73</v>
      </c>
      <c r="AZ15" s="233">
        <f>HLOOKUP(AW15,startgrid,15,0)</f>
        <v>6</v>
      </c>
      <c r="BA15" s="655" t="s">
        <v>718</v>
      </c>
      <c r="BB15" s="166" t="s">
        <v>705</v>
      </c>
      <c r="BC15" s="233"/>
      <c r="BD15" s="233" t="s">
        <v>73</v>
      </c>
      <c r="BE15" s="233">
        <f>HLOOKUP(BB15,startgrid,15,0)</f>
        <v>8</v>
      </c>
      <c r="BF15" s="655" t="s">
        <v>719</v>
      </c>
      <c r="BG15" s="166" t="s">
        <v>347</v>
      </c>
      <c r="BH15" s="233"/>
      <c r="BI15" s="233" t="s">
        <v>73</v>
      </c>
      <c r="BJ15" s="233">
        <f>HLOOKUP(BG15,startgrid,15,0)</f>
        <v>18</v>
      </c>
      <c r="BK15" s="655" t="s">
        <v>720</v>
      </c>
      <c r="BL15" s="166" t="s">
        <v>390</v>
      </c>
      <c r="BM15" s="233"/>
      <c r="BN15" s="233" t="s">
        <v>73</v>
      </c>
      <c r="BO15" s="233">
        <f>HLOOKUP(BL15,startgrid,15,0)</f>
        <v>19</v>
      </c>
      <c r="BP15" s="655" t="s">
        <v>721</v>
      </c>
      <c r="BQ15" s="166" t="s">
        <v>497</v>
      </c>
      <c r="BR15" s="233"/>
      <c r="BS15" s="233" t="s">
        <v>73</v>
      </c>
      <c r="BT15" s="233">
        <f>HLOOKUP(BQ15,startgrid,15,0)</f>
        <v>10</v>
      </c>
      <c r="BU15" s="655" t="s">
        <v>615</v>
      </c>
      <c r="BV15" s="166" t="s">
        <v>529</v>
      </c>
      <c r="BW15" s="233"/>
      <c r="BX15" s="233" t="s">
        <v>73</v>
      </c>
      <c r="BY15" s="233">
        <f>HLOOKUP(BV15,startgrid,15,0)</f>
        <v>16</v>
      </c>
      <c r="BZ15" s="655" t="s">
        <v>615</v>
      </c>
      <c r="CA15" s="166" t="s">
        <v>706</v>
      </c>
      <c r="CB15" s="233"/>
      <c r="CC15" s="233" t="s">
        <v>73</v>
      </c>
      <c r="CD15" s="233">
        <f>HLOOKUP(CA15,startgrid,15,0)</f>
        <v>17</v>
      </c>
      <c r="CE15" s="655" t="s">
        <v>615</v>
      </c>
      <c r="CF15" s="166" t="s">
        <v>481</v>
      </c>
      <c r="CG15" s="233"/>
      <c r="CH15" s="233" t="s">
        <v>73</v>
      </c>
      <c r="CI15" s="233">
        <f>HLOOKUP(CF15,startgrid,15,0)</f>
        <v>9</v>
      </c>
      <c r="CJ15" s="655" t="s">
        <v>615</v>
      </c>
      <c r="CK15" s="166" t="s">
        <v>67</v>
      </c>
      <c r="CL15" s="233"/>
      <c r="CM15" s="233" t="s">
        <v>73</v>
      </c>
      <c r="CN15" s="233">
        <f>HLOOKUP(CK15,startgrid,15,0)</f>
        <v>4</v>
      </c>
      <c r="CO15" s="655" t="s">
        <v>615</v>
      </c>
      <c r="CP15" s="166" t="s">
        <v>549</v>
      </c>
      <c r="CQ15" s="233"/>
      <c r="CR15" s="233" t="s">
        <v>73</v>
      </c>
      <c r="CS15" s="233">
        <f>HLOOKUP(CP15,startgrid,15,0)</f>
        <v>14</v>
      </c>
      <c r="CT15" s="655" t="s">
        <v>615</v>
      </c>
      <c r="CU15" s="166" t="s">
        <v>63</v>
      </c>
      <c r="CV15" s="233"/>
      <c r="CW15" s="233" t="s">
        <v>73</v>
      </c>
      <c r="CX15" s="233">
        <f>HLOOKUP(CU15,startgrid,15,0)</f>
        <v>20</v>
      </c>
      <c r="CY15" s="655" t="s">
        <v>615</v>
      </c>
      <c r="CZ15" s="166" t="s">
        <v>349</v>
      </c>
      <c r="DA15" s="233"/>
      <c r="DB15" s="233" t="s">
        <v>73</v>
      </c>
      <c r="DC15" s="233">
        <f>HLOOKUP(CZ15,startgrid,15,0)</f>
        <v>13</v>
      </c>
      <c r="DD15" s="655" t="s">
        <v>615</v>
      </c>
      <c r="DE15" s="166" t="s">
        <v>528</v>
      </c>
      <c r="DF15" s="233"/>
      <c r="DG15" s="233" t="s">
        <v>73</v>
      </c>
      <c r="DH15" s="233">
        <f>HLOOKUP(DE15,startgrid,15,0)</f>
        <v>15</v>
      </c>
      <c r="DI15" s="655" t="s">
        <v>616</v>
      </c>
      <c r="DJ15" s="166" t="s">
        <v>369</v>
      </c>
      <c r="DK15" s="233"/>
      <c r="DL15" s="233" t="s">
        <v>73</v>
      </c>
      <c r="DM15" s="233">
        <f>HLOOKUP(DJ15,startgrid,15,0)</f>
        <v>11</v>
      </c>
      <c r="DN15" s="655" t="s">
        <v>282</v>
      </c>
      <c r="DO15" s="166" t="s">
        <v>365</v>
      </c>
      <c r="DP15" s="233"/>
      <c r="DQ15" s="233" t="s">
        <v>73</v>
      </c>
      <c r="DR15" s="233">
        <f>HLOOKUP(DO15,startgrid,15,0)</f>
        <v>12</v>
      </c>
      <c r="DS15" s="655" t="s">
        <v>282</v>
      </c>
      <c r="DT15" s="166" t="s">
        <v>418</v>
      </c>
      <c r="DU15" s="233"/>
      <c r="DV15" s="233" t="s">
        <v>73</v>
      </c>
      <c r="DW15" s="233">
        <f>HLOOKUP(DT15,startgrid,15,0)</f>
        <v>7</v>
      </c>
      <c r="DX15" s="655" t="s">
        <v>282</v>
      </c>
      <c r="DY15" s="166" t="s">
        <v>73</v>
      </c>
      <c r="DZ15" s="170"/>
      <c r="EA15" s="170" t="s">
        <v>73</v>
      </c>
      <c r="EB15" s="170" t="str">
        <f>HLOOKUP(DY15,startgrid,15,0)</f>
        <v>…</v>
      </c>
      <c r="EC15" s="167" t="s">
        <v>73</v>
      </c>
      <c r="ED15" s="166" t="s">
        <v>73</v>
      </c>
      <c r="EE15" s="170"/>
      <c r="EF15" s="170" t="s">
        <v>73</v>
      </c>
      <c r="EG15" s="170" t="str">
        <f>HLOOKUP(ED15,startgrid,15,0)</f>
        <v>…</v>
      </c>
      <c r="EH15" s="167" t="s">
        <v>73</v>
      </c>
      <c r="EI15" s="145">
        <f>Blad2!AT57</f>
        <v>9.9229166666666671E-4</v>
      </c>
      <c r="EJ15" s="588">
        <f t="shared" si="0"/>
        <v>1</v>
      </c>
      <c r="EK15" s="122"/>
    </row>
    <row r="16" spans="1:141" ht="15" customHeight="1" x14ac:dyDescent="0.2">
      <c r="A16" s="335" t="s">
        <v>89</v>
      </c>
      <c r="B16" s="341" t="s">
        <v>90</v>
      </c>
      <c r="C16" s="340">
        <v>43730</v>
      </c>
      <c r="D16" s="629" t="s">
        <v>90</v>
      </c>
      <c r="E16" s="157" t="s">
        <v>90</v>
      </c>
      <c r="F16" s="215" t="s">
        <v>453</v>
      </c>
      <c r="G16" s="216">
        <v>0.84027777777777779</v>
      </c>
      <c r="H16" s="216">
        <v>0.59027777777777779</v>
      </c>
      <c r="I16" s="217">
        <v>5.0629999999999997</v>
      </c>
      <c r="J16" s="224">
        <v>61</v>
      </c>
      <c r="K16" s="231" t="s">
        <v>369</v>
      </c>
      <c r="L16" s="227">
        <v>1.1794560185185185E-3</v>
      </c>
      <c r="M16" s="241">
        <v>2018</v>
      </c>
      <c r="N16" s="600">
        <v>2018</v>
      </c>
      <c r="O16" s="606" t="s">
        <v>66</v>
      </c>
      <c r="P16" s="245" t="s">
        <v>328</v>
      </c>
      <c r="Q16" s="607">
        <v>1.1112847222222221E-3</v>
      </c>
      <c r="R16" s="603" t="s">
        <v>66</v>
      </c>
      <c r="S16" s="245" t="s">
        <v>328</v>
      </c>
      <c r="T16" s="245" t="s">
        <v>390</v>
      </c>
      <c r="U16" s="245" t="s">
        <v>401</v>
      </c>
      <c r="V16" s="245" t="s">
        <v>67</v>
      </c>
      <c r="W16" s="248" t="s">
        <v>64</v>
      </c>
      <c r="X16" s="254" t="str">
        <f>Blad2!B61</f>
        <v>…</v>
      </c>
      <c r="Y16" s="255" t="str">
        <f>Blad2!C61</f>
        <v>…</v>
      </c>
      <c r="Z16" s="250" t="s">
        <v>73</v>
      </c>
      <c r="AA16" s="139" t="s">
        <v>73</v>
      </c>
      <c r="AB16" s="162" t="s">
        <v>73</v>
      </c>
      <c r="AC16" s="166" t="s">
        <v>73</v>
      </c>
      <c r="AD16" s="233"/>
      <c r="AE16" s="233" t="s">
        <v>73</v>
      </c>
      <c r="AF16" s="233" t="str">
        <f>HLOOKUP(AC16,startgrid,16,0)</f>
        <v>…</v>
      </c>
      <c r="AG16" s="167" t="s">
        <v>73</v>
      </c>
      <c r="AH16" s="166" t="s">
        <v>73</v>
      </c>
      <c r="AI16" s="233"/>
      <c r="AJ16" s="233" t="s">
        <v>73</v>
      </c>
      <c r="AK16" s="233" t="str">
        <f>HLOOKUP(AH16,startgrid,16,0)</f>
        <v>…</v>
      </c>
      <c r="AL16" s="655" t="s">
        <v>73</v>
      </c>
      <c r="AM16" s="166" t="s">
        <v>73</v>
      </c>
      <c r="AN16" s="233"/>
      <c r="AO16" s="233" t="s">
        <v>73</v>
      </c>
      <c r="AP16" s="233" t="str">
        <f>HLOOKUP(AM16,startgrid,16,0)</f>
        <v>…</v>
      </c>
      <c r="AQ16" s="655" t="s">
        <v>73</v>
      </c>
      <c r="AR16" s="166" t="s">
        <v>73</v>
      </c>
      <c r="AS16" s="233"/>
      <c r="AT16" s="233" t="s">
        <v>73</v>
      </c>
      <c r="AU16" s="233" t="str">
        <f>HLOOKUP(AR16,startgrid,16,0)</f>
        <v>…</v>
      </c>
      <c r="AV16" s="655" t="s">
        <v>73</v>
      </c>
      <c r="AW16" s="166" t="s">
        <v>73</v>
      </c>
      <c r="AX16" s="233"/>
      <c r="AY16" s="233" t="s">
        <v>73</v>
      </c>
      <c r="AZ16" s="233" t="str">
        <f>HLOOKUP(AW16,startgrid,16,0)</f>
        <v>…</v>
      </c>
      <c r="BA16" s="655" t="s">
        <v>73</v>
      </c>
      <c r="BB16" s="166" t="s">
        <v>73</v>
      </c>
      <c r="BC16" s="233"/>
      <c r="BD16" s="233" t="s">
        <v>73</v>
      </c>
      <c r="BE16" s="233" t="str">
        <f>HLOOKUP(BB16,startgrid,16,0)</f>
        <v>…</v>
      </c>
      <c r="BF16" s="655" t="s">
        <v>73</v>
      </c>
      <c r="BG16" s="166" t="s">
        <v>73</v>
      </c>
      <c r="BH16" s="233"/>
      <c r="BI16" s="233" t="s">
        <v>73</v>
      </c>
      <c r="BJ16" s="233" t="str">
        <f>HLOOKUP(BG16,startgrid,16,0)</f>
        <v>…</v>
      </c>
      <c r="BK16" s="655" t="s">
        <v>73</v>
      </c>
      <c r="BL16" s="166" t="s">
        <v>73</v>
      </c>
      <c r="BM16" s="233"/>
      <c r="BN16" s="233" t="s">
        <v>73</v>
      </c>
      <c r="BO16" s="233" t="str">
        <f>HLOOKUP(BL16,startgrid,16,0)</f>
        <v>…</v>
      </c>
      <c r="BP16" s="655" t="s">
        <v>73</v>
      </c>
      <c r="BQ16" s="166" t="s">
        <v>73</v>
      </c>
      <c r="BR16" s="233"/>
      <c r="BS16" s="233" t="s">
        <v>73</v>
      </c>
      <c r="BT16" s="233" t="str">
        <f>HLOOKUP(BQ16,startgrid,16,0)</f>
        <v>…</v>
      </c>
      <c r="BU16" s="655" t="s">
        <v>73</v>
      </c>
      <c r="BV16" s="166" t="s">
        <v>73</v>
      </c>
      <c r="BW16" s="233"/>
      <c r="BX16" s="233" t="s">
        <v>73</v>
      </c>
      <c r="BY16" s="233" t="str">
        <f>HLOOKUP(BV16,startgrid,16,0)</f>
        <v>…</v>
      </c>
      <c r="BZ16" s="655" t="s">
        <v>73</v>
      </c>
      <c r="CA16" s="166" t="s">
        <v>73</v>
      </c>
      <c r="CB16" s="233"/>
      <c r="CC16" s="233" t="s">
        <v>73</v>
      </c>
      <c r="CD16" s="233" t="str">
        <f>HLOOKUP(CA16,startgrid,16,0)</f>
        <v>…</v>
      </c>
      <c r="CE16" s="655" t="s">
        <v>73</v>
      </c>
      <c r="CF16" s="166" t="s">
        <v>73</v>
      </c>
      <c r="CG16" s="233"/>
      <c r="CH16" s="233" t="s">
        <v>73</v>
      </c>
      <c r="CI16" s="233" t="str">
        <f>HLOOKUP(CF16,startgrid,16,0)</f>
        <v>…</v>
      </c>
      <c r="CJ16" s="655" t="s">
        <v>73</v>
      </c>
      <c r="CK16" s="166" t="s">
        <v>73</v>
      </c>
      <c r="CL16" s="233"/>
      <c r="CM16" s="233" t="s">
        <v>73</v>
      </c>
      <c r="CN16" s="233" t="str">
        <f>HLOOKUP(CK16,startgrid,16,0)</f>
        <v>…</v>
      </c>
      <c r="CO16" s="655" t="s">
        <v>73</v>
      </c>
      <c r="CP16" s="166" t="s">
        <v>73</v>
      </c>
      <c r="CQ16" s="233"/>
      <c r="CR16" s="233" t="s">
        <v>73</v>
      </c>
      <c r="CS16" s="233" t="str">
        <f>HLOOKUP(CP16,startgrid,16,0)</f>
        <v>…</v>
      </c>
      <c r="CT16" s="655" t="s">
        <v>73</v>
      </c>
      <c r="CU16" s="166" t="s">
        <v>73</v>
      </c>
      <c r="CV16" s="233"/>
      <c r="CW16" s="233" t="s">
        <v>73</v>
      </c>
      <c r="CX16" s="233" t="str">
        <f>HLOOKUP(CU16,startgrid,16,0)</f>
        <v>…</v>
      </c>
      <c r="CY16" s="655" t="s">
        <v>73</v>
      </c>
      <c r="CZ16" s="166" t="s">
        <v>73</v>
      </c>
      <c r="DA16" s="233"/>
      <c r="DB16" s="233" t="s">
        <v>73</v>
      </c>
      <c r="DC16" s="233" t="str">
        <f>HLOOKUP(CZ16,startgrid,16,0)</f>
        <v>…</v>
      </c>
      <c r="DD16" s="655" t="s">
        <v>73</v>
      </c>
      <c r="DE16" s="166" t="s">
        <v>73</v>
      </c>
      <c r="DF16" s="233"/>
      <c r="DG16" s="233" t="s">
        <v>73</v>
      </c>
      <c r="DH16" s="233" t="str">
        <f>HLOOKUP(DE16,startgrid,16,0)</f>
        <v>…</v>
      </c>
      <c r="DI16" s="655" t="s">
        <v>73</v>
      </c>
      <c r="DJ16" s="166" t="s">
        <v>73</v>
      </c>
      <c r="DK16" s="233"/>
      <c r="DL16" s="233" t="s">
        <v>73</v>
      </c>
      <c r="DM16" s="233" t="str">
        <f>HLOOKUP(DJ16,startgrid,16,0)</f>
        <v>…</v>
      </c>
      <c r="DN16" s="655" t="s">
        <v>73</v>
      </c>
      <c r="DO16" s="166" t="s">
        <v>73</v>
      </c>
      <c r="DP16" s="233"/>
      <c r="DQ16" s="233" t="s">
        <v>73</v>
      </c>
      <c r="DR16" s="233" t="str">
        <f>HLOOKUP(DO16,startgrid,16,0)</f>
        <v>…</v>
      </c>
      <c r="DS16" s="655" t="s">
        <v>73</v>
      </c>
      <c r="DT16" s="166" t="s">
        <v>73</v>
      </c>
      <c r="DU16" s="233"/>
      <c r="DV16" s="233" t="s">
        <v>73</v>
      </c>
      <c r="DW16" s="233" t="str">
        <f>HLOOKUP(DT16,startgrid,16,0)</f>
        <v>…</v>
      </c>
      <c r="DX16" s="655" t="s">
        <v>73</v>
      </c>
      <c r="DY16" s="166" t="s">
        <v>73</v>
      </c>
      <c r="DZ16" s="170"/>
      <c r="EA16" s="170" t="s">
        <v>73</v>
      </c>
      <c r="EB16" s="170" t="str">
        <f>HLOOKUP(DY16,startgrid,16,0)</f>
        <v>…</v>
      </c>
      <c r="EC16" s="167" t="s">
        <v>73</v>
      </c>
      <c r="ED16" s="166" t="s">
        <v>73</v>
      </c>
      <c r="EE16" s="170"/>
      <c r="EF16" s="170" t="s">
        <v>73</v>
      </c>
      <c r="EG16" s="170" t="str">
        <f>HLOOKUP(ED16,startgrid,16,0)</f>
        <v>…</v>
      </c>
      <c r="EH16" s="167" t="s">
        <v>73</v>
      </c>
      <c r="EI16" s="145" t="str">
        <f>Blad2!AT61</f>
        <v>…</v>
      </c>
      <c r="EJ16" s="588">
        <f t="shared" si="0"/>
        <v>0</v>
      </c>
      <c r="EK16" s="122"/>
    </row>
    <row r="17" spans="1:141" ht="15" customHeight="1" x14ac:dyDescent="0.2">
      <c r="A17" s="335" t="s">
        <v>91</v>
      </c>
      <c r="B17" s="341" t="s">
        <v>370</v>
      </c>
      <c r="C17" s="340">
        <v>43737</v>
      </c>
      <c r="D17" s="629" t="s">
        <v>370</v>
      </c>
      <c r="E17" s="157" t="s">
        <v>434</v>
      </c>
      <c r="F17" s="215" t="s">
        <v>448</v>
      </c>
      <c r="G17" s="216">
        <v>0.59027777777777779</v>
      </c>
      <c r="H17" s="216">
        <v>0.54861111111111105</v>
      </c>
      <c r="I17" s="217">
        <v>5.8479999999999999</v>
      </c>
      <c r="J17" s="224">
        <v>53</v>
      </c>
      <c r="K17" s="231" t="s">
        <v>350</v>
      </c>
      <c r="L17" s="227">
        <v>1.1095023148148147E-3</v>
      </c>
      <c r="M17" s="241">
        <v>2018</v>
      </c>
      <c r="N17" s="600">
        <v>2018</v>
      </c>
      <c r="O17" s="606" t="s">
        <v>350</v>
      </c>
      <c r="P17" s="245" t="s">
        <v>328</v>
      </c>
      <c r="Q17" s="607">
        <v>1.0577199074074074E-3</v>
      </c>
      <c r="R17" s="603" t="s">
        <v>66</v>
      </c>
      <c r="S17" s="245" t="s">
        <v>328</v>
      </c>
      <c r="T17" s="245" t="s">
        <v>350</v>
      </c>
      <c r="U17" s="245" t="s">
        <v>328</v>
      </c>
      <c r="V17" s="245" t="s">
        <v>67</v>
      </c>
      <c r="W17" s="248" t="s">
        <v>64</v>
      </c>
      <c r="X17" s="254" t="str">
        <f>Blad2!B65</f>
        <v>…</v>
      </c>
      <c r="Y17" s="255" t="str">
        <f>Blad2!C65</f>
        <v>…</v>
      </c>
      <c r="Z17" s="250" t="s">
        <v>73</v>
      </c>
      <c r="AA17" s="139" t="s">
        <v>73</v>
      </c>
      <c r="AB17" s="162" t="s">
        <v>73</v>
      </c>
      <c r="AC17" s="166" t="s">
        <v>73</v>
      </c>
      <c r="AD17" s="233"/>
      <c r="AE17" s="233" t="s">
        <v>73</v>
      </c>
      <c r="AF17" s="233" t="str">
        <f>HLOOKUP(AC17,startgrid,17,0)</f>
        <v>…</v>
      </c>
      <c r="AG17" s="167" t="s">
        <v>73</v>
      </c>
      <c r="AH17" s="166" t="s">
        <v>73</v>
      </c>
      <c r="AI17" s="233"/>
      <c r="AJ17" s="233" t="s">
        <v>73</v>
      </c>
      <c r="AK17" s="233" t="str">
        <f>HLOOKUP(AH17,startgrid,17,0)</f>
        <v>…</v>
      </c>
      <c r="AL17" s="655" t="s">
        <v>73</v>
      </c>
      <c r="AM17" s="166" t="s">
        <v>73</v>
      </c>
      <c r="AN17" s="233"/>
      <c r="AO17" s="233" t="s">
        <v>73</v>
      </c>
      <c r="AP17" s="233" t="str">
        <f>HLOOKUP(AM17,startgrid,17,0)</f>
        <v>…</v>
      </c>
      <c r="AQ17" s="655" t="s">
        <v>73</v>
      </c>
      <c r="AR17" s="166" t="s">
        <v>73</v>
      </c>
      <c r="AS17" s="233"/>
      <c r="AT17" s="233" t="s">
        <v>73</v>
      </c>
      <c r="AU17" s="233" t="str">
        <f>HLOOKUP(AR17,startgrid,17,0)</f>
        <v>…</v>
      </c>
      <c r="AV17" s="655" t="s">
        <v>73</v>
      </c>
      <c r="AW17" s="166" t="s">
        <v>73</v>
      </c>
      <c r="AX17" s="233"/>
      <c r="AY17" s="233" t="s">
        <v>73</v>
      </c>
      <c r="AZ17" s="233" t="str">
        <f>HLOOKUP(AW17,startgrid,17,0)</f>
        <v>…</v>
      </c>
      <c r="BA17" s="655" t="s">
        <v>73</v>
      </c>
      <c r="BB17" s="166" t="s">
        <v>73</v>
      </c>
      <c r="BC17" s="233"/>
      <c r="BD17" s="233" t="s">
        <v>73</v>
      </c>
      <c r="BE17" s="233" t="str">
        <f>HLOOKUP(BB17,startgrid,17,0)</f>
        <v>…</v>
      </c>
      <c r="BF17" s="655" t="s">
        <v>73</v>
      </c>
      <c r="BG17" s="166" t="s">
        <v>73</v>
      </c>
      <c r="BH17" s="233"/>
      <c r="BI17" s="233" t="s">
        <v>73</v>
      </c>
      <c r="BJ17" s="233" t="str">
        <f>HLOOKUP(BG17,startgrid,17,0)</f>
        <v>…</v>
      </c>
      <c r="BK17" s="655" t="s">
        <v>73</v>
      </c>
      <c r="BL17" s="166" t="s">
        <v>73</v>
      </c>
      <c r="BM17" s="233"/>
      <c r="BN17" s="233" t="s">
        <v>73</v>
      </c>
      <c r="BO17" s="233" t="str">
        <f>HLOOKUP(BL17,startgrid,17,0)</f>
        <v>…</v>
      </c>
      <c r="BP17" s="655" t="s">
        <v>73</v>
      </c>
      <c r="BQ17" s="166" t="s">
        <v>73</v>
      </c>
      <c r="BR17" s="233"/>
      <c r="BS17" s="233" t="s">
        <v>73</v>
      </c>
      <c r="BT17" s="233" t="str">
        <f>HLOOKUP(BQ17,startgrid,17,0)</f>
        <v>…</v>
      </c>
      <c r="BU17" s="655" t="s">
        <v>73</v>
      </c>
      <c r="BV17" s="166" t="s">
        <v>73</v>
      </c>
      <c r="BW17" s="233"/>
      <c r="BX17" s="233" t="s">
        <v>73</v>
      </c>
      <c r="BY17" s="233" t="str">
        <f>HLOOKUP(BV17,startgrid,17,0)</f>
        <v>…</v>
      </c>
      <c r="BZ17" s="655" t="s">
        <v>73</v>
      </c>
      <c r="CA17" s="166" t="s">
        <v>73</v>
      </c>
      <c r="CB17" s="233"/>
      <c r="CC17" s="233" t="s">
        <v>73</v>
      </c>
      <c r="CD17" s="233" t="str">
        <f>HLOOKUP(CA17,startgrid,17,0)</f>
        <v>…</v>
      </c>
      <c r="CE17" s="655" t="s">
        <v>73</v>
      </c>
      <c r="CF17" s="166" t="s">
        <v>73</v>
      </c>
      <c r="CG17" s="233"/>
      <c r="CH17" s="233" t="s">
        <v>73</v>
      </c>
      <c r="CI17" s="233" t="str">
        <f>HLOOKUP(CF17,startgrid,17,0)</f>
        <v>…</v>
      </c>
      <c r="CJ17" s="655" t="s">
        <v>73</v>
      </c>
      <c r="CK17" s="166" t="s">
        <v>73</v>
      </c>
      <c r="CL17" s="233"/>
      <c r="CM17" s="233" t="s">
        <v>73</v>
      </c>
      <c r="CN17" s="233" t="str">
        <f>HLOOKUP(CK17,startgrid,17,0)</f>
        <v>…</v>
      </c>
      <c r="CO17" s="655" t="s">
        <v>73</v>
      </c>
      <c r="CP17" s="166" t="s">
        <v>73</v>
      </c>
      <c r="CQ17" s="233"/>
      <c r="CR17" s="233" t="s">
        <v>73</v>
      </c>
      <c r="CS17" s="233" t="str">
        <f>HLOOKUP(CP17,startgrid,17,0)</f>
        <v>…</v>
      </c>
      <c r="CT17" s="655" t="s">
        <v>73</v>
      </c>
      <c r="CU17" s="166" t="s">
        <v>73</v>
      </c>
      <c r="CV17" s="233"/>
      <c r="CW17" s="233" t="s">
        <v>73</v>
      </c>
      <c r="CX17" s="233" t="str">
        <f>HLOOKUP(CU17,startgrid,17,0)</f>
        <v>…</v>
      </c>
      <c r="CY17" s="655" t="s">
        <v>73</v>
      </c>
      <c r="CZ17" s="166" t="s">
        <v>73</v>
      </c>
      <c r="DA17" s="233"/>
      <c r="DB17" s="233" t="s">
        <v>73</v>
      </c>
      <c r="DC17" s="233" t="str">
        <f>HLOOKUP(CZ17,startgrid,17,0)</f>
        <v>…</v>
      </c>
      <c r="DD17" s="655" t="s">
        <v>73</v>
      </c>
      <c r="DE17" s="166" t="s">
        <v>73</v>
      </c>
      <c r="DF17" s="233"/>
      <c r="DG17" s="233" t="s">
        <v>73</v>
      </c>
      <c r="DH17" s="233" t="str">
        <f>HLOOKUP(DE17,startgrid,17,0)</f>
        <v>…</v>
      </c>
      <c r="DI17" s="655" t="s">
        <v>73</v>
      </c>
      <c r="DJ17" s="166" t="s">
        <v>73</v>
      </c>
      <c r="DK17" s="233"/>
      <c r="DL17" s="233" t="s">
        <v>73</v>
      </c>
      <c r="DM17" s="233" t="str">
        <f>HLOOKUP(DJ17,startgrid,17,0)</f>
        <v>…</v>
      </c>
      <c r="DN17" s="655" t="s">
        <v>73</v>
      </c>
      <c r="DO17" s="166" t="s">
        <v>73</v>
      </c>
      <c r="DP17" s="233"/>
      <c r="DQ17" s="233" t="s">
        <v>73</v>
      </c>
      <c r="DR17" s="233" t="str">
        <f>HLOOKUP(DO17,startgrid,17,0)</f>
        <v>…</v>
      </c>
      <c r="DS17" s="655" t="s">
        <v>73</v>
      </c>
      <c r="DT17" s="166" t="s">
        <v>73</v>
      </c>
      <c r="DU17" s="233"/>
      <c r="DV17" s="233" t="s">
        <v>73</v>
      </c>
      <c r="DW17" s="233" t="str">
        <f>HLOOKUP(DT17,startgrid,17,0)</f>
        <v>…</v>
      </c>
      <c r="DX17" s="655" t="s">
        <v>73</v>
      </c>
      <c r="DY17" s="166" t="s">
        <v>73</v>
      </c>
      <c r="DZ17" s="170"/>
      <c r="EA17" s="170" t="s">
        <v>73</v>
      </c>
      <c r="EB17" s="170" t="str">
        <f>HLOOKUP(DY17,startgrid,17,0)</f>
        <v>…</v>
      </c>
      <c r="EC17" s="167" t="s">
        <v>73</v>
      </c>
      <c r="ED17" s="166" t="s">
        <v>73</v>
      </c>
      <c r="EE17" s="170"/>
      <c r="EF17" s="170" t="s">
        <v>73</v>
      </c>
      <c r="EG17" s="170" t="str">
        <f>HLOOKUP(ED17,startgrid,17,0)</f>
        <v>…</v>
      </c>
      <c r="EH17" s="167" t="s">
        <v>73</v>
      </c>
      <c r="EI17" s="145" t="str">
        <f>Blad2!AT65</f>
        <v>…</v>
      </c>
      <c r="EJ17" s="588">
        <f t="shared" si="0"/>
        <v>0</v>
      </c>
      <c r="EK17" s="122"/>
    </row>
    <row r="18" spans="1:141" ht="15" customHeight="1" x14ac:dyDescent="0.2">
      <c r="A18" s="335" t="s">
        <v>93</v>
      </c>
      <c r="B18" s="341" t="s">
        <v>92</v>
      </c>
      <c r="C18" s="340">
        <v>43751</v>
      </c>
      <c r="D18" s="629" t="s">
        <v>92</v>
      </c>
      <c r="E18" s="157" t="s">
        <v>340</v>
      </c>
      <c r="F18" s="215" t="s">
        <v>493</v>
      </c>
      <c r="G18" s="216">
        <v>0.59027777777777779</v>
      </c>
      <c r="H18" s="216">
        <v>0.2986111111111111</v>
      </c>
      <c r="I18" s="217">
        <v>5.8070000000000004</v>
      </c>
      <c r="J18" s="224">
        <v>53</v>
      </c>
      <c r="K18" s="632" t="s">
        <v>63</v>
      </c>
      <c r="L18" s="227">
        <v>1.0594907407407406E-3</v>
      </c>
      <c r="M18" s="241">
        <v>2005</v>
      </c>
      <c r="N18" s="600">
        <v>2018</v>
      </c>
      <c r="O18" s="606" t="s">
        <v>66</v>
      </c>
      <c r="P18" s="245" t="s">
        <v>328</v>
      </c>
      <c r="Q18" s="607">
        <v>1.0157407407407409E-3</v>
      </c>
      <c r="R18" s="603" t="s">
        <v>66</v>
      </c>
      <c r="S18" s="245" t="s">
        <v>328</v>
      </c>
      <c r="T18" s="245" t="s">
        <v>350</v>
      </c>
      <c r="U18" s="245" t="s">
        <v>328</v>
      </c>
      <c r="V18" s="245" t="s">
        <v>390</v>
      </c>
      <c r="W18" s="248" t="s">
        <v>401</v>
      </c>
      <c r="X18" s="254" t="str">
        <f>Blad2!B69</f>
        <v>…</v>
      </c>
      <c r="Y18" s="255" t="str">
        <f>Blad2!C69</f>
        <v>…</v>
      </c>
      <c r="Z18" s="250" t="s">
        <v>73</v>
      </c>
      <c r="AA18" s="139" t="s">
        <v>73</v>
      </c>
      <c r="AB18" s="162" t="s">
        <v>73</v>
      </c>
      <c r="AC18" s="166" t="s">
        <v>73</v>
      </c>
      <c r="AD18" s="233"/>
      <c r="AE18" s="233" t="s">
        <v>73</v>
      </c>
      <c r="AF18" s="233" t="str">
        <f>HLOOKUP(AC18,startgrid,18,0)</f>
        <v>…</v>
      </c>
      <c r="AG18" s="167" t="s">
        <v>73</v>
      </c>
      <c r="AH18" s="166" t="s">
        <v>73</v>
      </c>
      <c r="AI18" s="233"/>
      <c r="AJ18" s="233" t="s">
        <v>73</v>
      </c>
      <c r="AK18" s="233" t="str">
        <f>HLOOKUP(AH18,startgrid,18,0)</f>
        <v>…</v>
      </c>
      <c r="AL18" s="655" t="s">
        <v>73</v>
      </c>
      <c r="AM18" s="166" t="s">
        <v>73</v>
      </c>
      <c r="AN18" s="233"/>
      <c r="AO18" s="233" t="s">
        <v>73</v>
      </c>
      <c r="AP18" s="233" t="str">
        <f>HLOOKUP(AM18,startgrid,18,0)</f>
        <v>…</v>
      </c>
      <c r="AQ18" s="655" t="s">
        <v>73</v>
      </c>
      <c r="AR18" s="166" t="s">
        <v>73</v>
      </c>
      <c r="AS18" s="233"/>
      <c r="AT18" s="233" t="s">
        <v>73</v>
      </c>
      <c r="AU18" s="233" t="str">
        <f>HLOOKUP(AR18,startgrid,18,0)</f>
        <v>…</v>
      </c>
      <c r="AV18" s="655" t="s">
        <v>73</v>
      </c>
      <c r="AW18" s="166" t="s">
        <v>73</v>
      </c>
      <c r="AX18" s="233"/>
      <c r="AY18" s="233" t="s">
        <v>73</v>
      </c>
      <c r="AZ18" s="233" t="str">
        <f>HLOOKUP(AW18,startgrid,18,0)</f>
        <v>…</v>
      </c>
      <c r="BA18" s="655" t="s">
        <v>73</v>
      </c>
      <c r="BB18" s="166" t="s">
        <v>73</v>
      </c>
      <c r="BC18" s="233"/>
      <c r="BD18" s="233" t="s">
        <v>73</v>
      </c>
      <c r="BE18" s="233" t="str">
        <f>HLOOKUP(BB18,startgrid,18,0)</f>
        <v>…</v>
      </c>
      <c r="BF18" s="655" t="s">
        <v>73</v>
      </c>
      <c r="BG18" s="166" t="s">
        <v>73</v>
      </c>
      <c r="BH18" s="233"/>
      <c r="BI18" s="233" t="s">
        <v>73</v>
      </c>
      <c r="BJ18" s="233" t="str">
        <f>HLOOKUP(BG18,startgrid,18,0)</f>
        <v>…</v>
      </c>
      <c r="BK18" s="655" t="s">
        <v>73</v>
      </c>
      <c r="BL18" s="166" t="s">
        <v>73</v>
      </c>
      <c r="BM18" s="233"/>
      <c r="BN18" s="233" t="s">
        <v>73</v>
      </c>
      <c r="BO18" s="233" t="str">
        <f>HLOOKUP(BL18,startgrid,18,0)</f>
        <v>…</v>
      </c>
      <c r="BP18" s="655" t="s">
        <v>73</v>
      </c>
      <c r="BQ18" s="166" t="s">
        <v>73</v>
      </c>
      <c r="BR18" s="233"/>
      <c r="BS18" s="233" t="s">
        <v>73</v>
      </c>
      <c r="BT18" s="233" t="str">
        <f>HLOOKUP(BQ18,startgrid,18,0)</f>
        <v>…</v>
      </c>
      <c r="BU18" s="655" t="s">
        <v>73</v>
      </c>
      <c r="BV18" s="166" t="s">
        <v>73</v>
      </c>
      <c r="BW18" s="233"/>
      <c r="BX18" s="233" t="s">
        <v>73</v>
      </c>
      <c r="BY18" s="233" t="str">
        <f>HLOOKUP(BV18,startgrid,18,0)</f>
        <v>…</v>
      </c>
      <c r="BZ18" s="655" t="s">
        <v>73</v>
      </c>
      <c r="CA18" s="166" t="s">
        <v>73</v>
      </c>
      <c r="CB18" s="233"/>
      <c r="CC18" s="233" t="s">
        <v>73</v>
      </c>
      <c r="CD18" s="233" t="str">
        <f>HLOOKUP(CA18,startgrid,18,0)</f>
        <v>…</v>
      </c>
      <c r="CE18" s="655" t="s">
        <v>73</v>
      </c>
      <c r="CF18" s="166" t="s">
        <v>73</v>
      </c>
      <c r="CG18" s="233"/>
      <c r="CH18" s="233" t="s">
        <v>73</v>
      </c>
      <c r="CI18" s="233" t="str">
        <f>HLOOKUP(CF18,startgrid,18,0)</f>
        <v>…</v>
      </c>
      <c r="CJ18" s="655" t="s">
        <v>73</v>
      </c>
      <c r="CK18" s="166" t="s">
        <v>73</v>
      </c>
      <c r="CL18" s="233"/>
      <c r="CM18" s="233" t="s">
        <v>73</v>
      </c>
      <c r="CN18" s="233" t="str">
        <f>HLOOKUP(CK18,startgrid,18,0)</f>
        <v>…</v>
      </c>
      <c r="CO18" s="655" t="s">
        <v>73</v>
      </c>
      <c r="CP18" s="166" t="s">
        <v>73</v>
      </c>
      <c r="CQ18" s="233"/>
      <c r="CR18" s="233" t="s">
        <v>73</v>
      </c>
      <c r="CS18" s="233" t="str">
        <f>HLOOKUP(CP18,startgrid,18,0)</f>
        <v>…</v>
      </c>
      <c r="CT18" s="655" t="s">
        <v>73</v>
      </c>
      <c r="CU18" s="166" t="s">
        <v>73</v>
      </c>
      <c r="CV18" s="233"/>
      <c r="CW18" s="233" t="s">
        <v>73</v>
      </c>
      <c r="CX18" s="233" t="str">
        <f>HLOOKUP(CU18,startgrid,18,0)</f>
        <v>…</v>
      </c>
      <c r="CY18" s="655" t="s">
        <v>73</v>
      </c>
      <c r="CZ18" s="166" t="s">
        <v>73</v>
      </c>
      <c r="DA18" s="233"/>
      <c r="DB18" s="233" t="s">
        <v>73</v>
      </c>
      <c r="DC18" s="233" t="str">
        <f>HLOOKUP(CZ18,startgrid,18,0)</f>
        <v>…</v>
      </c>
      <c r="DD18" s="655" t="s">
        <v>73</v>
      </c>
      <c r="DE18" s="166" t="s">
        <v>73</v>
      </c>
      <c r="DF18" s="233"/>
      <c r="DG18" s="233" t="s">
        <v>73</v>
      </c>
      <c r="DH18" s="233" t="str">
        <f>HLOOKUP(DE18,startgrid,18,0)</f>
        <v>…</v>
      </c>
      <c r="DI18" s="655" t="s">
        <v>73</v>
      </c>
      <c r="DJ18" s="166" t="s">
        <v>73</v>
      </c>
      <c r="DK18" s="233"/>
      <c r="DL18" s="233" t="s">
        <v>73</v>
      </c>
      <c r="DM18" s="233" t="str">
        <f>HLOOKUP(DJ18,startgrid,18,0)</f>
        <v>…</v>
      </c>
      <c r="DN18" s="655" t="s">
        <v>73</v>
      </c>
      <c r="DO18" s="166" t="s">
        <v>73</v>
      </c>
      <c r="DP18" s="233"/>
      <c r="DQ18" s="233" t="s">
        <v>73</v>
      </c>
      <c r="DR18" s="233" t="str">
        <f>HLOOKUP(DO18,startgrid,18,0)</f>
        <v>…</v>
      </c>
      <c r="DS18" s="655" t="s">
        <v>73</v>
      </c>
      <c r="DT18" s="166" t="s">
        <v>73</v>
      </c>
      <c r="DU18" s="233"/>
      <c r="DV18" s="233" t="s">
        <v>73</v>
      </c>
      <c r="DW18" s="233" t="str">
        <f>HLOOKUP(DT18,startgrid,18,0)</f>
        <v>…</v>
      </c>
      <c r="DX18" s="655" t="s">
        <v>73</v>
      </c>
      <c r="DY18" s="166" t="s">
        <v>73</v>
      </c>
      <c r="DZ18" s="170"/>
      <c r="EA18" s="170" t="s">
        <v>73</v>
      </c>
      <c r="EB18" s="170" t="str">
        <f>HLOOKUP(DY18,startgrid,18,0)</f>
        <v>…</v>
      </c>
      <c r="EC18" s="167" t="s">
        <v>73</v>
      </c>
      <c r="ED18" s="166" t="s">
        <v>73</v>
      </c>
      <c r="EE18" s="170"/>
      <c r="EF18" s="170" t="s">
        <v>73</v>
      </c>
      <c r="EG18" s="170" t="str">
        <f>HLOOKUP(ED18,startgrid,18,0)</f>
        <v>…</v>
      </c>
      <c r="EH18" s="167" t="s">
        <v>73</v>
      </c>
      <c r="EI18" s="145" t="str">
        <f>Blad2!AT69</f>
        <v>…</v>
      </c>
      <c r="EJ18" s="588">
        <f t="shared" si="0"/>
        <v>0</v>
      </c>
      <c r="EK18" s="122"/>
    </row>
    <row r="19" spans="1:141" ht="15" customHeight="1" x14ac:dyDescent="0.2">
      <c r="A19" s="335" t="s">
        <v>314</v>
      </c>
      <c r="B19" s="341" t="s">
        <v>346</v>
      </c>
      <c r="C19" s="340">
        <v>43765</v>
      </c>
      <c r="D19" s="629" t="s">
        <v>346</v>
      </c>
      <c r="E19" s="215" t="s">
        <v>432</v>
      </c>
      <c r="F19" s="215" t="s">
        <v>455</v>
      </c>
      <c r="G19" s="216">
        <v>0.54861111111111105</v>
      </c>
      <c r="H19" s="216">
        <v>0.84027777777777779</v>
      </c>
      <c r="I19" s="217">
        <v>4.3040000000000003</v>
      </c>
      <c r="J19" s="224">
        <v>71</v>
      </c>
      <c r="K19" s="632" t="s">
        <v>350</v>
      </c>
      <c r="L19" s="227">
        <v>9.1135416666666665E-4</v>
      </c>
      <c r="M19" s="241">
        <v>2018</v>
      </c>
      <c r="N19" s="600">
        <v>2018</v>
      </c>
      <c r="O19" s="606" t="s">
        <v>348</v>
      </c>
      <c r="P19" s="245" t="s">
        <v>401</v>
      </c>
      <c r="Q19" s="607">
        <v>8.652662037037036E-4</v>
      </c>
      <c r="R19" s="603" t="s">
        <v>390</v>
      </c>
      <c r="S19" s="245" t="s">
        <v>401</v>
      </c>
      <c r="T19" s="245" t="s">
        <v>67</v>
      </c>
      <c r="U19" s="245" t="s">
        <v>64</v>
      </c>
      <c r="V19" s="245" t="s">
        <v>63</v>
      </c>
      <c r="W19" s="248" t="s">
        <v>64</v>
      </c>
      <c r="X19" s="254" t="str">
        <f>Blad2!B73</f>
        <v>…</v>
      </c>
      <c r="Y19" s="255" t="str">
        <f>Blad2!C73</f>
        <v>…</v>
      </c>
      <c r="Z19" s="250" t="s">
        <v>73</v>
      </c>
      <c r="AA19" s="139" t="s">
        <v>73</v>
      </c>
      <c r="AB19" s="162" t="s">
        <v>73</v>
      </c>
      <c r="AC19" s="166" t="s">
        <v>73</v>
      </c>
      <c r="AD19" s="233"/>
      <c r="AE19" s="233" t="s">
        <v>73</v>
      </c>
      <c r="AF19" s="233" t="str">
        <f>HLOOKUP(AC19,startgrid,19,0)</f>
        <v>…</v>
      </c>
      <c r="AG19" s="167" t="s">
        <v>73</v>
      </c>
      <c r="AH19" s="166" t="s">
        <v>73</v>
      </c>
      <c r="AI19" s="233"/>
      <c r="AJ19" s="233" t="s">
        <v>73</v>
      </c>
      <c r="AK19" s="233" t="str">
        <f>HLOOKUP(AH19,startgrid,19,0)</f>
        <v>…</v>
      </c>
      <c r="AL19" s="655" t="s">
        <v>73</v>
      </c>
      <c r="AM19" s="166" t="s">
        <v>73</v>
      </c>
      <c r="AN19" s="233"/>
      <c r="AO19" s="233" t="s">
        <v>73</v>
      </c>
      <c r="AP19" s="233" t="str">
        <f>HLOOKUP(AM19,startgrid,19,0)</f>
        <v>…</v>
      </c>
      <c r="AQ19" s="655" t="s">
        <v>73</v>
      </c>
      <c r="AR19" s="166" t="s">
        <v>73</v>
      </c>
      <c r="AS19" s="233"/>
      <c r="AT19" s="233" t="s">
        <v>73</v>
      </c>
      <c r="AU19" s="233" t="str">
        <f>HLOOKUP(AR19,startgrid,19,0)</f>
        <v>…</v>
      </c>
      <c r="AV19" s="655" t="s">
        <v>73</v>
      </c>
      <c r="AW19" s="166" t="s">
        <v>73</v>
      </c>
      <c r="AX19" s="233"/>
      <c r="AY19" s="233" t="s">
        <v>73</v>
      </c>
      <c r="AZ19" s="233" t="str">
        <f>HLOOKUP(AW19,startgrid,19,0)</f>
        <v>…</v>
      </c>
      <c r="BA19" s="655" t="s">
        <v>73</v>
      </c>
      <c r="BB19" s="166" t="s">
        <v>73</v>
      </c>
      <c r="BC19" s="233"/>
      <c r="BD19" s="233" t="s">
        <v>73</v>
      </c>
      <c r="BE19" s="233" t="str">
        <f>HLOOKUP(BB19,startgrid,19,0)</f>
        <v>…</v>
      </c>
      <c r="BF19" s="655" t="s">
        <v>73</v>
      </c>
      <c r="BG19" s="166" t="s">
        <v>73</v>
      </c>
      <c r="BH19" s="233"/>
      <c r="BI19" s="233" t="s">
        <v>73</v>
      </c>
      <c r="BJ19" s="233" t="str">
        <f>HLOOKUP(BG19,startgrid,19,0)</f>
        <v>…</v>
      </c>
      <c r="BK19" s="655" t="s">
        <v>73</v>
      </c>
      <c r="BL19" s="166" t="s">
        <v>73</v>
      </c>
      <c r="BM19" s="233"/>
      <c r="BN19" s="233" t="s">
        <v>73</v>
      </c>
      <c r="BO19" s="233" t="str">
        <f>HLOOKUP(BL19,startgrid,19,0)</f>
        <v>…</v>
      </c>
      <c r="BP19" s="655" t="s">
        <v>73</v>
      </c>
      <c r="BQ19" s="166" t="s">
        <v>73</v>
      </c>
      <c r="BR19" s="233"/>
      <c r="BS19" s="233" t="s">
        <v>73</v>
      </c>
      <c r="BT19" s="233" t="str">
        <f>HLOOKUP(BQ19,startgrid,19,0)</f>
        <v>…</v>
      </c>
      <c r="BU19" s="655" t="s">
        <v>73</v>
      </c>
      <c r="BV19" s="166" t="s">
        <v>73</v>
      </c>
      <c r="BW19" s="233"/>
      <c r="BX19" s="233" t="s">
        <v>73</v>
      </c>
      <c r="BY19" s="233" t="str">
        <f>HLOOKUP(BV19,startgrid,19,0)</f>
        <v>…</v>
      </c>
      <c r="BZ19" s="655" t="s">
        <v>73</v>
      </c>
      <c r="CA19" s="166" t="s">
        <v>73</v>
      </c>
      <c r="CB19" s="233"/>
      <c r="CC19" s="233" t="s">
        <v>73</v>
      </c>
      <c r="CD19" s="233" t="str">
        <f>HLOOKUP(CA19,startgrid,19,0)</f>
        <v>…</v>
      </c>
      <c r="CE19" s="655" t="s">
        <v>73</v>
      </c>
      <c r="CF19" s="166" t="s">
        <v>73</v>
      </c>
      <c r="CG19" s="233"/>
      <c r="CH19" s="233" t="s">
        <v>73</v>
      </c>
      <c r="CI19" s="233" t="str">
        <f>HLOOKUP(CF19,startgrid,19,0)</f>
        <v>…</v>
      </c>
      <c r="CJ19" s="655" t="s">
        <v>73</v>
      </c>
      <c r="CK19" s="166" t="s">
        <v>73</v>
      </c>
      <c r="CL19" s="233"/>
      <c r="CM19" s="233" t="s">
        <v>73</v>
      </c>
      <c r="CN19" s="233" t="str">
        <f>HLOOKUP(CK19,startgrid,19,0)</f>
        <v>…</v>
      </c>
      <c r="CO19" s="655" t="s">
        <v>73</v>
      </c>
      <c r="CP19" s="166" t="s">
        <v>73</v>
      </c>
      <c r="CQ19" s="233"/>
      <c r="CR19" s="233" t="s">
        <v>73</v>
      </c>
      <c r="CS19" s="233" t="str">
        <f>HLOOKUP(CP19,startgrid,19,0)</f>
        <v>…</v>
      </c>
      <c r="CT19" s="655" t="s">
        <v>73</v>
      </c>
      <c r="CU19" s="166" t="s">
        <v>73</v>
      </c>
      <c r="CV19" s="233"/>
      <c r="CW19" s="233" t="s">
        <v>73</v>
      </c>
      <c r="CX19" s="233" t="str">
        <f>HLOOKUP(CU19,startgrid,19,0)</f>
        <v>…</v>
      </c>
      <c r="CY19" s="655" t="s">
        <v>73</v>
      </c>
      <c r="CZ19" s="166" t="s">
        <v>73</v>
      </c>
      <c r="DA19" s="233"/>
      <c r="DB19" s="233" t="s">
        <v>73</v>
      </c>
      <c r="DC19" s="233" t="str">
        <f>HLOOKUP(CZ19,startgrid,19,0)</f>
        <v>…</v>
      </c>
      <c r="DD19" s="655" t="s">
        <v>73</v>
      </c>
      <c r="DE19" s="166" t="s">
        <v>73</v>
      </c>
      <c r="DF19" s="233"/>
      <c r="DG19" s="233" t="s">
        <v>73</v>
      </c>
      <c r="DH19" s="233" t="str">
        <f>HLOOKUP(DE19,startgrid,19,0)</f>
        <v>…</v>
      </c>
      <c r="DI19" s="655" t="s">
        <v>73</v>
      </c>
      <c r="DJ19" s="166" t="s">
        <v>73</v>
      </c>
      <c r="DK19" s="233"/>
      <c r="DL19" s="233" t="s">
        <v>73</v>
      </c>
      <c r="DM19" s="233" t="str">
        <f>HLOOKUP(DJ19,startgrid,19,0)</f>
        <v>…</v>
      </c>
      <c r="DN19" s="655" t="s">
        <v>73</v>
      </c>
      <c r="DO19" s="166" t="s">
        <v>73</v>
      </c>
      <c r="DP19" s="233"/>
      <c r="DQ19" s="233" t="s">
        <v>73</v>
      </c>
      <c r="DR19" s="233" t="str">
        <f>HLOOKUP(DO19,startgrid,19,0)</f>
        <v>…</v>
      </c>
      <c r="DS19" s="655" t="s">
        <v>73</v>
      </c>
      <c r="DT19" s="166" t="s">
        <v>73</v>
      </c>
      <c r="DU19" s="233"/>
      <c r="DV19" s="233" t="s">
        <v>73</v>
      </c>
      <c r="DW19" s="233" t="str">
        <f>HLOOKUP(DT19,startgrid,19,0)</f>
        <v>…</v>
      </c>
      <c r="DX19" s="655" t="s">
        <v>73</v>
      </c>
      <c r="DY19" s="166" t="s">
        <v>73</v>
      </c>
      <c r="DZ19" s="170"/>
      <c r="EA19" s="170" t="s">
        <v>73</v>
      </c>
      <c r="EB19" s="170" t="str">
        <f>HLOOKUP(DY19,startgrid,19,0)</f>
        <v>…</v>
      </c>
      <c r="EC19" s="167" t="s">
        <v>73</v>
      </c>
      <c r="ED19" s="166" t="s">
        <v>73</v>
      </c>
      <c r="EE19" s="170"/>
      <c r="EF19" s="170" t="s">
        <v>73</v>
      </c>
      <c r="EG19" s="170" t="str">
        <f>HLOOKUP(ED19,startgrid,19,0)</f>
        <v>…</v>
      </c>
      <c r="EH19" s="167" t="s">
        <v>73</v>
      </c>
      <c r="EI19" s="145" t="str">
        <f>Blad2!AT73</f>
        <v>…</v>
      </c>
      <c r="EJ19" s="588">
        <f t="shared" si="0"/>
        <v>0</v>
      </c>
      <c r="EK19" s="122"/>
    </row>
    <row r="20" spans="1:141" ht="15" customHeight="1" x14ac:dyDescent="0.2">
      <c r="A20" s="335" t="s">
        <v>315</v>
      </c>
      <c r="B20" s="341" t="s">
        <v>428</v>
      </c>
      <c r="C20" s="340">
        <v>43772</v>
      </c>
      <c r="D20" s="629" t="s">
        <v>428</v>
      </c>
      <c r="E20" s="215" t="s">
        <v>354</v>
      </c>
      <c r="F20" s="215" t="s">
        <v>454</v>
      </c>
      <c r="G20" s="216">
        <v>0.54861111111111105</v>
      </c>
      <c r="H20" s="216">
        <v>0.84027777777777779</v>
      </c>
      <c r="I20" s="217">
        <v>5.5129999999999999</v>
      </c>
      <c r="J20" s="224">
        <v>56</v>
      </c>
      <c r="K20" s="632" t="s">
        <v>66</v>
      </c>
      <c r="L20" s="227">
        <v>1.1272222222222224E-3</v>
      </c>
      <c r="M20" s="241">
        <v>2018</v>
      </c>
      <c r="N20" s="600">
        <v>2018</v>
      </c>
      <c r="O20" s="606" t="s">
        <v>66</v>
      </c>
      <c r="P20" s="245" t="s">
        <v>328</v>
      </c>
      <c r="Q20" s="607">
        <v>1.0675578703703704E-3</v>
      </c>
      <c r="R20" s="603" t="s">
        <v>63</v>
      </c>
      <c r="S20" s="245" t="s">
        <v>64</v>
      </c>
      <c r="T20" s="245" t="s">
        <v>390</v>
      </c>
      <c r="U20" s="245" t="s">
        <v>401</v>
      </c>
      <c r="V20" s="245" t="s">
        <v>66</v>
      </c>
      <c r="W20" s="248" t="s">
        <v>328</v>
      </c>
      <c r="X20" s="254" t="str">
        <f>Blad2!B77</f>
        <v>…</v>
      </c>
      <c r="Y20" s="255" t="str">
        <f>Blad2!C77</f>
        <v>…</v>
      </c>
      <c r="Z20" s="250" t="s">
        <v>73</v>
      </c>
      <c r="AA20" s="139" t="s">
        <v>73</v>
      </c>
      <c r="AB20" s="162" t="s">
        <v>73</v>
      </c>
      <c r="AC20" s="166" t="s">
        <v>73</v>
      </c>
      <c r="AD20" s="233"/>
      <c r="AE20" s="233" t="s">
        <v>73</v>
      </c>
      <c r="AF20" s="233" t="str">
        <f>HLOOKUP(AC20,startgrid,20,0)</f>
        <v>…</v>
      </c>
      <c r="AG20" s="167" t="s">
        <v>73</v>
      </c>
      <c r="AH20" s="166" t="s">
        <v>73</v>
      </c>
      <c r="AI20" s="233"/>
      <c r="AJ20" s="233" t="s">
        <v>73</v>
      </c>
      <c r="AK20" s="233" t="str">
        <f>HLOOKUP(AH20,startgrid,20,0)</f>
        <v>…</v>
      </c>
      <c r="AL20" s="655" t="s">
        <v>73</v>
      </c>
      <c r="AM20" s="166" t="s">
        <v>73</v>
      </c>
      <c r="AN20" s="233"/>
      <c r="AO20" s="233" t="s">
        <v>73</v>
      </c>
      <c r="AP20" s="233" t="str">
        <f>HLOOKUP(AM20,startgrid,20,0)</f>
        <v>…</v>
      </c>
      <c r="AQ20" s="655" t="s">
        <v>73</v>
      </c>
      <c r="AR20" s="166" t="s">
        <v>73</v>
      </c>
      <c r="AS20" s="233"/>
      <c r="AT20" s="233" t="s">
        <v>73</v>
      </c>
      <c r="AU20" s="233" t="str">
        <f>HLOOKUP(AR20,startgrid,20,0)</f>
        <v>…</v>
      </c>
      <c r="AV20" s="655" t="s">
        <v>73</v>
      </c>
      <c r="AW20" s="166" t="s">
        <v>73</v>
      </c>
      <c r="AX20" s="233"/>
      <c r="AY20" s="233" t="s">
        <v>73</v>
      </c>
      <c r="AZ20" s="233" t="str">
        <f>HLOOKUP(AW20,startgrid,20,0)</f>
        <v>…</v>
      </c>
      <c r="BA20" s="655" t="s">
        <v>73</v>
      </c>
      <c r="BB20" s="166" t="s">
        <v>73</v>
      </c>
      <c r="BC20" s="233"/>
      <c r="BD20" s="233" t="s">
        <v>73</v>
      </c>
      <c r="BE20" s="233" t="str">
        <f>HLOOKUP(BB20,startgrid,20,0)</f>
        <v>…</v>
      </c>
      <c r="BF20" s="655" t="s">
        <v>73</v>
      </c>
      <c r="BG20" s="166" t="s">
        <v>73</v>
      </c>
      <c r="BH20" s="233"/>
      <c r="BI20" s="233" t="s">
        <v>73</v>
      </c>
      <c r="BJ20" s="233" t="str">
        <f>HLOOKUP(BG20,startgrid,20,0)</f>
        <v>…</v>
      </c>
      <c r="BK20" s="655" t="s">
        <v>73</v>
      </c>
      <c r="BL20" s="166" t="s">
        <v>73</v>
      </c>
      <c r="BM20" s="233"/>
      <c r="BN20" s="233" t="s">
        <v>73</v>
      </c>
      <c r="BO20" s="233" t="str">
        <f>HLOOKUP(BL20,startgrid,20,0)</f>
        <v>…</v>
      </c>
      <c r="BP20" s="655" t="s">
        <v>73</v>
      </c>
      <c r="BQ20" s="166" t="s">
        <v>73</v>
      </c>
      <c r="BR20" s="233"/>
      <c r="BS20" s="233" t="s">
        <v>73</v>
      </c>
      <c r="BT20" s="233" t="str">
        <f>HLOOKUP(BQ20,startgrid,20,0)</f>
        <v>…</v>
      </c>
      <c r="BU20" s="655" t="s">
        <v>73</v>
      </c>
      <c r="BV20" s="166" t="s">
        <v>73</v>
      </c>
      <c r="BW20" s="233"/>
      <c r="BX20" s="233" t="s">
        <v>73</v>
      </c>
      <c r="BY20" s="233" t="str">
        <f>HLOOKUP(BV20,startgrid,20,0)</f>
        <v>…</v>
      </c>
      <c r="BZ20" s="655" t="s">
        <v>73</v>
      </c>
      <c r="CA20" s="166" t="s">
        <v>73</v>
      </c>
      <c r="CB20" s="233"/>
      <c r="CC20" s="233" t="s">
        <v>73</v>
      </c>
      <c r="CD20" s="233" t="str">
        <f>HLOOKUP(CA20,startgrid,20,0)</f>
        <v>…</v>
      </c>
      <c r="CE20" s="655" t="s">
        <v>73</v>
      </c>
      <c r="CF20" s="166" t="s">
        <v>73</v>
      </c>
      <c r="CG20" s="233"/>
      <c r="CH20" s="233" t="s">
        <v>73</v>
      </c>
      <c r="CI20" s="233" t="str">
        <f>HLOOKUP(CF20,startgrid,20,0)</f>
        <v>…</v>
      </c>
      <c r="CJ20" s="655" t="s">
        <v>73</v>
      </c>
      <c r="CK20" s="166" t="s">
        <v>73</v>
      </c>
      <c r="CL20" s="233"/>
      <c r="CM20" s="233" t="s">
        <v>73</v>
      </c>
      <c r="CN20" s="233" t="str">
        <f>HLOOKUP(CK20,startgrid,20,0)</f>
        <v>…</v>
      </c>
      <c r="CO20" s="655" t="s">
        <v>73</v>
      </c>
      <c r="CP20" s="166" t="s">
        <v>73</v>
      </c>
      <c r="CQ20" s="233"/>
      <c r="CR20" s="233" t="s">
        <v>73</v>
      </c>
      <c r="CS20" s="233" t="str">
        <f>HLOOKUP(CP20,startgrid,20,0)</f>
        <v>…</v>
      </c>
      <c r="CT20" s="655" t="s">
        <v>73</v>
      </c>
      <c r="CU20" s="166" t="s">
        <v>73</v>
      </c>
      <c r="CV20" s="233"/>
      <c r="CW20" s="233" t="s">
        <v>73</v>
      </c>
      <c r="CX20" s="233" t="str">
        <f>HLOOKUP(CU20,startgrid,20,0)</f>
        <v>…</v>
      </c>
      <c r="CY20" s="655" t="s">
        <v>73</v>
      </c>
      <c r="CZ20" s="166" t="s">
        <v>73</v>
      </c>
      <c r="DA20" s="233"/>
      <c r="DB20" s="233" t="s">
        <v>73</v>
      </c>
      <c r="DC20" s="233" t="str">
        <f>HLOOKUP(CZ20,startgrid,20,0)</f>
        <v>…</v>
      </c>
      <c r="DD20" s="655" t="s">
        <v>73</v>
      </c>
      <c r="DE20" s="166" t="s">
        <v>73</v>
      </c>
      <c r="DF20" s="233"/>
      <c r="DG20" s="233" t="s">
        <v>73</v>
      </c>
      <c r="DH20" s="233" t="str">
        <f>HLOOKUP(DE20,startgrid,20,0)</f>
        <v>…</v>
      </c>
      <c r="DI20" s="655" t="s">
        <v>73</v>
      </c>
      <c r="DJ20" s="166" t="s">
        <v>73</v>
      </c>
      <c r="DK20" s="233"/>
      <c r="DL20" s="233" t="s">
        <v>73</v>
      </c>
      <c r="DM20" s="233" t="str">
        <f>HLOOKUP(DJ20,startgrid,20,0)</f>
        <v>…</v>
      </c>
      <c r="DN20" s="655" t="s">
        <v>73</v>
      </c>
      <c r="DO20" s="166" t="s">
        <v>73</v>
      </c>
      <c r="DP20" s="233"/>
      <c r="DQ20" s="233" t="s">
        <v>73</v>
      </c>
      <c r="DR20" s="233" t="str">
        <f>HLOOKUP(DO20,startgrid,20,0)</f>
        <v>…</v>
      </c>
      <c r="DS20" s="655" t="s">
        <v>73</v>
      </c>
      <c r="DT20" s="166" t="s">
        <v>73</v>
      </c>
      <c r="DU20" s="233"/>
      <c r="DV20" s="233" t="s">
        <v>73</v>
      </c>
      <c r="DW20" s="233" t="str">
        <f>HLOOKUP(DT20,startgrid,20,0)</f>
        <v>…</v>
      </c>
      <c r="DX20" s="655" t="s">
        <v>73</v>
      </c>
      <c r="DY20" s="166" t="s">
        <v>73</v>
      </c>
      <c r="DZ20" s="170"/>
      <c r="EA20" s="170" t="s">
        <v>73</v>
      </c>
      <c r="EB20" s="170" t="str">
        <f>HLOOKUP(DY20,startgrid,20,0)</f>
        <v>…</v>
      </c>
      <c r="EC20" s="167" t="s">
        <v>73</v>
      </c>
      <c r="ED20" s="166" t="s">
        <v>73</v>
      </c>
      <c r="EE20" s="170"/>
      <c r="EF20" s="170" t="s">
        <v>73</v>
      </c>
      <c r="EG20" s="170" t="str">
        <f>HLOOKUP(ED20,startgrid,20,0)</f>
        <v>…</v>
      </c>
      <c r="EH20" s="167" t="s">
        <v>73</v>
      </c>
      <c r="EI20" s="145" t="str">
        <f>Blad2!AT77</f>
        <v>…</v>
      </c>
      <c r="EJ20" s="588">
        <f t="shared" si="0"/>
        <v>0</v>
      </c>
      <c r="EK20" s="122"/>
    </row>
    <row r="21" spans="1:141" ht="15" customHeight="1" x14ac:dyDescent="0.2">
      <c r="A21" s="335" t="s">
        <v>391</v>
      </c>
      <c r="B21" s="341" t="s">
        <v>506</v>
      </c>
      <c r="C21" s="340">
        <v>43786</v>
      </c>
      <c r="D21" s="629" t="s">
        <v>506</v>
      </c>
      <c r="E21" s="215" t="s">
        <v>435</v>
      </c>
      <c r="F21" s="215" t="s">
        <v>494</v>
      </c>
      <c r="G21" s="216">
        <v>0.63194444444444442</v>
      </c>
      <c r="H21" s="216">
        <v>0.75694444444444453</v>
      </c>
      <c r="I21" s="217">
        <v>4.3090000000000002</v>
      </c>
      <c r="J21" s="224">
        <v>71</v>
      </c>
      <c r="K21" s="632" t="s">
        <v>350</v>
      </c>
      <c r="L21" s="227">
        <v>8.1643518518518523E-4</v>
      </c>
      <c r="M21" s="241">
        <v>2018</v>
      </c>
      <c r="N21" s="600">
        <v>2018</v>
      </c>
      <c r="O21" s="606" t="s">
        <v>66</v>
      </c>
      <c r="P21" s="245" t="s">
        <v>328</v>
      </c>
      <c r="Q21" s="607">
        <v>7.787152777777778E-4</v>
      </c>
      <c r="R21" s="603" t="s">
        <v>66</v>
      </c>
      <c r="S21" s="245" t="s">
        <v>328</v>
      </c>
      <c r="T21" s="245" t="s">
        <v>390</v>
      </c>
      <c r="U21" s="245" t="s">
        <v>401</v>
      </c>
      <c r="V21" s="245" t="s">
        <v>63</v>
      </c>
      <c r="W21" s="248" t="s">
        <v>64</v>
      </c>
      <c r="X21" s="254" t="str">
        <f>Blad2!B84</f>
        <v>…</v>
      </c>
      <c r="Y21" s="255" t="str">
        <f>Blad2!C84</f>
        <v>…</v>
      </c>
      <c r="Z21" s="250" t="s">
        <v>73</v>
      </c>
      <c r="AA21" s="139" t="s">
        <v>73</v>
      </c>
      <c r="AB21" s="162" t="s">
        <v>73</v>
      </c>
      <c r="AC21" s="166" t="s">
        <v>73</v>
      </c>
      <c r="AD21" s="233"/>
      <c r="AE21" s="233" t="s">
        <v>73</v>
      </c>
      <c r="AF21" s="233" t="str">
        <f>HLOOKUP(AC21,startgrid,21,0)</f>
        <v>…</v>
      </c>
      <c r="AG21" s="167" t="s">
        <v>73</v>
      </c>
      <c r="AH21" s="166" t="s">
        <v>73</v>
      </c>
      <c r="AI21" s="233"/>
      <c r="AJ21" s="233" t="s">
        <v>73</v>
      </c>
      <c r="AK21" s="233" t="str">
        <f>HLOOKUP(AH21,startgrid,21,0)</f>
        <v>…</v>
      </c>
      <c r="AL21" s="655" t="s">
        <v>73</v>
      </c>
      <c r="AM21" s="166" t="s">
        <v>73</v>
      </c>
      <c r="AN21" s="233"/>
      <c r="AO21" s="233" t="s">
        <v>73</v>
      </c>
      <c r="AP21" s="233" t="str">
        <f>HLOOKUP(AM21,startgrid,21,0)</f>
        <v>…</v>
      </c>
      <c r="AQ21" s="655" t="s">
        <v>73</v>
      </c>
      <c r="AR21" s="166" t="s">
        <v>73</v>
      </c>
      <c r="AS21" s="233"/>
      <c r="AT21" s="233" t="s">
        <v>73</v>
      </c>
      <c r="AU21" s="233" t="str">
        <f>HLOOKUP(AR21,startgrid,21,0)</f>
        <v>…</v>
      </c>
      <c r="AV21" s="655" t="s">
        <v>73</v>
      </c>
      <c r="AW21" s="166" t="s">
        <v>73</v>
      </c>
      <c r="AX21" s="233"/>
      <c r="AY21" s="233" t="s">
        <v>73</v>
      </c>
      <c r="AZ21" s="233" t="str">
        <f>HLOOKUP(AW21,startgrid,21,0)</f>
        <v>…</v>
      </c>
      <c r="BA21" s="655" t="s">
        <v>73</v>
      </c>
      <c r="BB21" s="166" t="s">
        <v>73</v>
      </c>
      <c r="BC21" s="233"/>
      <c r="BD21" s="233" t="s">
        <v>73</v>
      </c>
      <c r="BE21" s="233" t="str">
        <f>HLOOKUP(BB21,startgrid,21,0)</f>
        <v>…</v>
      </c>
      <c r="BF21" s="655" t="s">
        <v>73</v>
      </c>
      <c r="BG21" s="166" t="s">
        <v>73</v>
      </c>
      <c r="BH21" s="233"/>
      <c r="BI21" s="233" t="s">
        <v>73</v>
      </c>
      <c r="BJ21" s="233" t="str">
        <f>HLOOKUP(BG21,startgrid,21,0)</f>
        <v>…</v>
      </c>
      <c r="BK21" s="655" t="s">
        <v>73</v>
      </c>
      <c r="BL21" s="166" t="s">
        <v>73</v>
      </c>
      <c r="BM21" s="233"/>
      <c r="BN21" s="233" t="s">
        <v>73</v>
      </c>
      <c r="BO21" s="233" t="str">
        <f>HLOOKUP(BL21,startgrid,21,0)</f>
        <v>…</v>
      </c>
      <c r="BP21" s="655" t="s">
        <v>73</v>
      </c>
      <c r="BQ21" s="166" t="s">
        <v>73</v>
      </c>
      <c r="BR21" s="233"/>
      <c r="BS21" s="233" t="s">
        <v>73</v>
      </c>
      <c r="BT21" s="233" t="str">
        <f>HLOOKUP(BQ21,startgrid,21,0)</f>
        <v>…</v>
      </c>
      <c r="BU21" s="655" t="s">
        <v>73</v>
      </c>
      <c r="BV21" s="166" t="s">
        <v>73</v>
      </c>
      <c r="BW21" s="233"/>
      <c r="BX21" s="233" t="s">
        <v>73</v>
      </c>
      <c r="BY21" s="233" t="str">
        <f>HLOOKUP(BV21,startgrid,21,0)</f>
        <v>…</v>
      </c>
      <c r="BZ21" s="655" t="s">
        <v>73</v>
      </c>
      <c r="CA21" s="166" t="s">
        <v>73</v>
      </c>
      <c r="CB21" s="233"/>
      <c r="CC21" s="233" t="s">
        <v>73</v>
      </c>
      <c r="CD21" s="233" t="str">
        <f>HLOOKUP(CA21,startgrid,21,0)</f>
        <v>…</v>
      </c>
      <c r="CE21" s="655" t="s">
        <v>73</v>
      </c>
      <c r="CF21" s="166" t="s">
        <v>73</v>
      </c>
      <c r="CG21" s="233"/>
      <c r="CH21" s="233" t="s">
        <v>73</v>
      </c>
      <c r="CI21" s="233" t="str">
        <f>HLOOKUP(CF21,startgrid,21,0)</f>
        <v>…</v>
      </c>
      <c r="CJ21" s="655" t="s">
        <v>73</v>
      </c>
      <c r="CK21" s="166" t="s">
        <v>73</v>
      </c>
      <c r="CL21" s="233"/>
      <c r="CM21" s="233" t="s">
        <v>73</v>
      </c>
      <c r="CN21" s="233" t="str">
        <f>HLOOKUP(CK21,startgrid,21,0)</f>
        <v>…</v>
      </c>
      <c r="CO21" s="655" t="s">
        <v>73</v>
      </c>
      <c r="CP21" s="166" t="s">
        <v>73</v>
      </c>
      <c r="CQ21" s="233"/>
      <c r="CR21" s="233" t="s">
        <v>73</v>
      </c>
      <c r="CS21" s="233" t="str">
        <f>HLOOKUP(CP21,startgrid,21,0)</f>
        <v>…</v>
      </c>
      <c r="CT21" s="655" t="s">
        <v>73</v>
      </c>
      <c r="CU21" s="166" t="s">
        <v>73</v>
      </c>
      <c r="CV21" s="233"/>
      <c r="CW21" s="233" t="s">
        <v>73</v>
      </c>
      <c r="CX21" s="233" t="str">
        <f>HLOOKUP(CU21,startgrid,21,0)</f>
        <v>…</v>
      </c>
      <c r="CY21" s="655" t="s">
        <v>73</v>
      </c>
      <c r="CZ21" s="166" t="s">
        <v>73</v>
      </c>
      <c r="DA21" s="233"/>
      <c r="DB21" s="233" t="s">
        <v>73</v>
      </c>
      <c r="DC21" s="233" t="str">
        <f>HLOOKUP(CZ21,startgrid,21,0)</f>
        <v>…</v>
      </c>
      <c r="DD21" s="655" t="s">
        <v>73</v>
      </c>
      <c r="DE21" s="166" t="s">
        <v>73</v>
      </c>
      <c r="DF21" s="233"/>
      <c r="DG21" s="233" t="s">
        <v>73</v>
      </c>
      <c r="DH21" s="233" t="str">
        <f>HLOOKUP(DE21,startgrid,21,0)</f>
        <v>…</v>
      </c>
      <c r="DI21" s="655" t="s">
        <v>73</v>
      </c>
      <c r="DJ21" s="166" t="s">
        <v>73</v>
      </c>
      <c r="DK21" s="233"/>
      <c r="DL21" s="233" t="s">
        <v>73</v>
      </c>
      <c r="DM21" s="233" t="str">
        <f>HLOOKUP(DJ21,startgrid,21,0)</f>
        <v>…</v>
      </c>
      <c r="DN21" s="655" t="s">
        <v>73</v>
      </c>
      <c r="DO21" s="166" t="s">
        <v>73</v>
      </c>
      <c r="DP21" s="233"/>
      <c r="DQ21" s="233" t="s">
        <v>73</v>
      </c>
      <c r="DR21" s="233" t="str">
        <f>HLOOKUP(DO21,startgrid,21,0)</f>
        <v>…</v>
      </c>
      <c r="DS21" s="655" t="s">
        <v>73</v>
      </c>
      <c r="DT21" s="166" t="s">
        <v>73</v>
      </c>
      <c r="DU21" s="233"/>
      <c r="DV21" s="233" t="s">
        <v>73</v>
      </c>
      <c r="DW21" s="233" t="str">
        <f>HLOOKUP(DT21,startgrid,21,0)</f>
        <v>…</v>
      </c>
      <c r="DX21" s="655" t="s">
        <v>73</v>
      </c>
      <c r="DY21" s="166" t="s">
        <v>73</v>
      </c>
      <c r="DZ21" s="352"/>
      <c r="EA21" s="352" t="s">
        <v>73</v>
      </c>
      <c r="EB21" s="352" t="str">
        <f>HLOOKUP(DY21,startgrid,21,0)</f>
        <v>…</v>
      </c>
      <c r="EC21" s="167" t="s">
        <v>73</v>
      </c>
      <c r="ED21" s="166" t="s">
        <v>73</v>
      </c>
      <c r="EE21" s="352"/>
      <c r="EF21" s="352" t="s">
        <v>73</v>
      </c>
      <c r="EG21" s="352" t="str">
        <f>HLOOKUP(ED21,startgrid,21,0)</f>
        <v>…</v>
      </c>
      <c r="EH21" s="167" t="s">
        <v>73</v>
      </c>
      <c r="EI21" s="145" t="str">
        <f>Blad2!AT81</f>
        <v>…</v>
      </c>
      <c r="EJ21" s="588">
        <f t="shared" si="0"/>
        <v>0</v>
      </c>
      <c r="EK21" s="346"/>
    </row>
    <row r="22" spans="1:141" ht="15" customHeight="1" thickBot="1" x14ac:dyDescent="0.25">
      <c r="A22" s="336" t="s">
        <v>507</v>
      </c>
      <c r="B22" s="342" t="s">
        <v>220</v>
      </c>
      <c r="C22" s="343">
        <v>43800</v>
      </c>
      <c r="D22" s="630" t="s">
        <v>457</v>
      </c>
      <c r="E22" s="631" t="s">
        <v>220</v>
      </c>
      <c r="F22" s="631" t="s">
        <v>456</v>
      </c>
      <c r="G22" s="636">
        <v>0.71527777777777779</v>
      </c>
      <c r="H22" s="636">
        <v>0.59027777777777779</v>
      </c>
      <c r="I22" s="637">
        <v>5.5540000000000003</v>
      </c>
      <c r="J22" s="638">
        <v>55</v>
      </c>
      <c r="K22" s="633" t="s">
        <v>67</v>
      </c>
      <c r="L22" s="634">
        <v>1.1606365740740741E-3</v>
      </c>
      <c r="M22" s="635">
        <v>2009</v>
      </c>
      <c r="N22" s="608">
        <v>2018</v>
      </c>
      <c r="O22" s="643" t="s">
        <v>66</v>
      </c>
      <c r="P22" s="644" t="s">
        <v>328</v>
      </c>
      <c r="Q22" s="645">
        <v>1.0971527777777776E-3</v>
      </c>
      <c r="R22" s="646" t="s">
        <v>66</v>
      </c>
      <c r="S22" s="644" t="s">
        <v>328</v>
      </c>
      <c r="T22" s="644" t="s">
        <v>67</v>
      </c>
      <c r="U22" s="644" t="s">
        <v>64</v>
      </c>
      <c r="V22" s="644" t="s">
        <v>390</v>
      </c>
      <c r="W22" s="647" t="s">
        <v>401</v>
      </c>
      <c r="X22" s="256" t="str">
        <f>Blad2!B85</f>
        <v>…</v>
      </c>
      <c r="Y22" s="257" t="str">
        <f>Blad2!C85</f>
        <v>…</v>
      </c>
      <c r="Z22" s="251" t="s">
        <v>73</v>
      </c>
      <c r="AA22" s="143" t="s">
        <v>73</v>
      </c>
      <c r="AB22" s="163" t="s">
        <v>73</v>
      </c>
      <c r="AC22" s="168" t="s">
        <v>73</v>
      </c>
      <c r="AD22" s="234"/>
      <c r="AE22" s="234" t="s">
        <v>73</v>
      </c>
      <c r="AF22" s="234" t="str">
        <f>HLOOKUP(AC22,startgrid,21,0)</f>
        <v>…</v>
      </c>
      <c r="AG22" s="169" t="s">
        <v>73</v>
      </c>
      <c r="AH22" s="168" t="s">
        <v>73</v>
      </c>
      <c r="AI22" s="234"/>
      <c r="AJ22" s="234" t="s">
        <v>73</v>
      </c>
      <c r="AK22" s="234" t="str">
        <f>HLOOKUP(AH22,startgrid,21,0)</f>
        <v>…</v>
      </c>
      <c r="AL22" s="656" t="s">
        <v>73</v>
      </c>
      <c r="AM22" s="168" t="s">
        <v>73</v>
      </c>
      <c r="AN22" s="234"/>
      <c r="AO22" s="234" t="s">
        <v>73</v>
      </c>
      <c r="AP22" s="234" t="str">
        <f>HLOOKUP(AM22,startgrid,21,0)</f>
        <v>…</v>
      </c>
      <c r="AQ22" s="656" t="s">
        <v>73</v>
      </c>
      <c r="AR22" s="168" t="s">
        <v>73</v>
      </c>
      <c r="AS22" s="234"/>
      <c r="AT22" s="234" t="s">
        <v>73</v>
      </c>
      <c r="AU22" s="234" t="str">
        <f>HLOOKUP(AR22,startgrid,21,0)</f>
        <v>…</v>
      </c>
      <c r="AV22" s="656" t="s">
        <v>73</v>
      </c>
      <c r="AW22" s="168" t="s">
        <v>73</v>
      </c>
      <c r="AX22" s="234"/>
      <c r="AY22" s="234" t="s">
        <v>73</v>
      </c>
      <c r="AZ22" s="234" t="str">
        <f>HLOOKUP(AW22,startgrid,21,0)</f>
        <v>…</v>
      </c>
      <c r="BA22" s="656" t="s">
        <v>73</v>
      </c>
      <c r="BB22" s="168" t="s">
        <v>73</v>
      </c>
      <c r="BC22" s="234"/>
      <c r="BD22" s="234" t="s">
        <v>73</v>
      </c>
      <c r="BE22" s="234" t="str">
        <f>HLOOKUP(BB22,startgrid,21,0)</f>
        <v>…</v>
      </c>
      <c r="BF22" s="656" t="s">
        <v>73</v>
      </c>
      <c r="BG22" s="168" t="s">
        <v>73</v>
      </c>
      <c r="BH22" s="234"/>
      <c r="BI22" s="234" t="s">
        <v>73</v>
      </c>
      <c r="BJ22" s="234" t="str">
        <f>HLOOKUP(BG22,startgrid,21,0)</f>
        <v>…</v>
      </c>
      <c r="BK22" s="656" t="s">
        <v>73</v>
      </c>
      <c r="BL22" s="168" t="s">
        <v>73</v>
      </c>
      <c r="BM22" s="234"/>
      <c r="BN22" s="234" t="s">
        <v>73</v>
      </c>
      <c r="BO22" s="234" t="str">
        <f>HLOOKUP(BL22,startgrid,21,0)</f>
        <v>…</v>
      </c>
      <c r="BP22" s="656" t="s">
        <v>73</v>
      </c>
      <c r="BQ22" s="168" t="s">
        <v>73</v>
      </c>
      <c r="BR22" s="234"/>
      <c r="BS22" s="234" t="s">
        <v>73</v>
      </c>
      <c r="BT22" s="234" t="str">
        <f>HLOOKUP(BQ22,startgrid,21,0)</f>
        <v>…</v>
      </c>
      <c r="BU22" s="656" t="s">
        <v>73</v>
      </c>
      <c r="BV22" s="168" t="s">
        <v>73</v>
      </c>
      <c r="BW22" s="234"/>
      <c r="BX22" s="234" t="s">
        <v>73</v>
      </c>
      <c r="BY22" s="234" t="str">
        <f>HLOOKUP(BV22,startgrid,21,0)</f>
        <v>…</v>
      </c>
      <c r="BZ22" s="656" t="s">
        <v>73</v>
      </c>
      <c r="CA22" s="168" t="s">
        <v>73</v>
      </c>
      <c r="CB22" s="234"/>
      <c r="CC22" s="234" t="s">
        <v>73</v>
      </c>
      <c r="CD22" s="234" t="str">
        <f>HLOOKUP(CA22,startgrid,21,0)</f>
        <v>…</v>
      </c>
      <c r="CE22" s="656" t="s">
        <v>73</v>
      </c>
      <c r="CF22" s="168" t="s">
        <v>73</v>
      </c>
      <c r="CG22" s="234"/>
      <c r="CH22" s="234" t="s">
        <v>73</v>
      </c>
      <c r="CI22" s="234" t="str">
        <f>HLOOKUP(CF22,startgrid,21,0)</f>
        <v>…</v>
      </c>
      <c r="CJ22" s="656" t="s">
        <v>73</v>
      </c>
      <c r="CK22" s="168" t="s">
        <v>73</v>
      </c>
      <c r="CL22" s="234"/>
      <c r="CM22" s="234" t="s">
        <v>73</v>
      </c>
      <c r="CN22" s="234" t="str">
        <f>HLOOKUP(CK22,startgrid,21,0)</f>
        <v>…</v>
      </c>
      <c r="CO22" s="656" t="s">
        <v>73</v>
      </c>
      <c r="CP22" s="168" t="s">
        <v>73</v>
      </c>
      <c r="CQ22" s="234"/>
      <c r="CR22" s="234" t="s">
        <v>73</v>
      </c>
      <c r="CS22" s="234" t="str">
        <f>HLOOKUP(CP22,startgrid,21,0)</f>
        <v>…</v>
      </c>
      <c r="CT22" s="656" t="s">
        <v>73</v>
      </c>
      <c r="CU22" s="168" t="s">
        <v>73</v>
      </c>
      <c r="CV22" s="234"/>
      <c r="CW22" s="234" t="s">
        <v>73</v>
      </c>
      <c r="CX22" s="234" t="str">
        <f>HLOOKUP(CU22,startgrid,21,0)</f>
        <v>…</v>
      </c>
      <c r="CY22" s="656" t="s">
        <v>73</v>
      </c>
      <c r="CZ22" s="168" t="s">
        <v>73</v>
      </c>
      <c r="DA22" s="234"/>
      <c r="DB22" s="234" t="s">
        <v>73</v>
      </c>
      <c r="DC22" s="234" t="str">
        <f>HLOOKUP(CZ22,startgrid,21,0)</f>
        <v>…</v>
      </c>
      <c r="DD22" s="656" t="s">
        <v>73</v>
      </c>
      <c r="DE22" s="168" t="s">
        <v>73</v>
      </c>
      <c r="DF22" s="234"/>
      <c r="DG22" s="234" t="s">
        <v>73</v>
      </c>
      <c r="DH22" s="234" t="str">
        <f>HLOOKUP(DE22,startgrid,21,0)</f>
        <v>…</v>
      </c>
      <c r="DI22" s="656" t="s">
        <v>73</v>
      </c>
      <c r="DJ22" s="168" t="s">
        <v>73</v>
      </c>
      <c r="DK22" s="234"/>
      <c r="DL22" s="234" t="s">
        <v>73</v>
      </c>
      <c r="DM22" s="234" t="str">
        <f>HLOOKUP(DJ22,startgrid,21,0)</f>
        <v>…</v>
      </c>
      <c r="DN22" s="656" t="s">
        <v>73</v>
      </c>
      <c r="DO22" s="168" t="s">
        <v>73</v>
      </c>
      <c r="DP22" s="234"/>
      <c r="DQ22" s="234" t="s">
        <v>73</v>
      </c>
      <c r="DR22" s="234" t="str">
        <f>HLOOKUP(DO22,startgrid,21,0)</f>
        <v>…</v>
      </c>
      <c r="DS22" s="656" t="s">
        <v>73</v>
      </c>
      <c r="DT22" s="168" t="s">
        <v>73</v>
      </c>
      <c r="DU22" s="234"/>
      <c r="DV22" s="234" t="s">
        <v>73</v>
      </c>
      <c r="DW22" s="234" t="str">
        <f>HLOOKUP(DT22,startgrid,21,0)</f>
        <v>…</v>
      </c>
      <c r="DX22" s="656" t="s">
        <v>73</v>
      </c>
      <c r="DY22" s="347" t="s">
        <v>73</v>
      </c>
      <c r="DZ22" s="348"/>
      <c r="EA22" s="348" t="s">
        <v>73</v>
      </c>
      <c r="EB22" s="348" t="str">
        <f>HLOOKUP(DY22,startgrid,21,0)</f>
        <v>…</v>
      </c>
      <c r="EC22" s="349" t="s">
        <v>73</v>
      </c>
      <c r="ED22" s="347" t="s">
        <v>73</v>
      </c>
      <c r="EE22" s="348"/>
      <c r="EF22" s="348" t="s">
        <v>73</v>
      </c>
      <c r="EG22" s="348" t="str">
        <f>HLOOKUP(ED22,startgrid,21,0)</f>
        <v>…</v>
      </c>
      <c r="EH22" s="349" t="s">
        <v>73</v>
      </c>
      <c r="EI22" s="350" t="str">
        <f>Blad2!AT85</f>
        <v>…</v>
      </c>
      <c r="EJ22" s="589">
        <f>IF(Z22="…",0,(IF(Z22=AC22,1)+IF(Z22=AH22,1)+IF(Z22=AM22,1)+IF(Z22=AR22,1)+IF(Z22=AW22,1)+IF(Z22=BB22,1)+IF(Z22=BG22,1)+IF(Z22=BL22,1)+IF(Z22=BQ22,1)+IF(Z22=BV22,1)))</f>
        <v>0</v>
      </c>
      <c r="EK22" s="351"/>
    </row>
    <row r="23" spans="1:141" x14ac:dyDescent="0.2">
      <c r="F23" s="85"/>
      <c r="K23" s="794" t="s">
        <v>480</v>
      </c>
      <c r="L23" s="795"/>
      <c r="M23" s="796"/>
    </row>
    <row r="24" spans="1:141" x14ac:dyDescent="0.2">
      <c r="F24" s="2"/>
    </row>
    <row r="25" spans="1:141" x14ac:dyDescent="0.2">
      <c r="D25" s="344"/>
      <c r="E25" s="2"/>
      <c r="F25" s="2"/>
      <c r="G25" s="90"/>
      <c r="H25" s="90"/>
      <c r="I25" s="91"/>
      <c r="J25" s="89"/>
      <c r="K25" s="345"/>
      <c r="L25" s="120"/>
      <c r="M25" s="89"/>
      <c r="AG25" s="204"/>
    </row>
    <row r="26" spans="1:141" x14ac:dyDescent="0.2">
      <c r="F26" s="2"/>
      <c r="AG26" s="803" t="s">
        <v>504</v>
      </c>
      <c r="AH26" s="804"/>
      <c r="AI26" s="805"/>
      <c r="AK26" s="659" t="s">
        <v>561</v>
      </c>
    </row>
    <row r="27" spans="1:141" x14ac:dyDescent="0.2">
      <c r="F27" s="2"/>
      <c r="AG27" s="797" t="s">
        <v>501</v>
      </c>
      <c r="AH27" s="798"/>
      <c r="AI27" s="659">
        <f>SUM(stnd_cou!Y9:Y28)</f>
        <v>1428</v>
      </c>
      <c r="AK27" s="659">
        <f>SUM(stnd_cou!DH9:DH28)</f>
        <v>14</v>
      </c>
    </row>
    <row r="28" spans="1:141" x14ac:dyDescent="0.2">
      <c r="F28" s="2"/>
      <c r="AF28" s="660" t="s">
        <v>0</v>
      </c>
      <c r="AG28" s="799" t="s">
        <v>502</v>
      </c>
      <c r="AH28" s="800"/>
      <c r="AI28" s="659">
        <f>SUM(stnd_cou!CJ9:CJ28)</f>
        <v>1428</v>
      </c>
      <c r="AK28" s="89"/>
    </row>
    <row r="29" spans="1:141" x14ac:dyDescent="0.2">
      <c r="B29" s="327"/>
      <c r="C29" s="328"/>
      <c r="D29" s="2"/>
      <c r="E29" s="85"/>
      <c r="F29" s="2"/>
      <c r="G29" s="90"/>
      <c r="H29" s="90"/>
      <c r="I29" s="91"/>
      <c r="J29" s="89"/>
      <c r="K29" s="85"/>
      <c r="L29" s="120"/>
      <c r="M29" s="89"/>
      <c r="AF29" s="661">
        <f>IF(Z2="…",0,1)+IF(Z3="…",0,1)+IF(Z4="…",0,1)+IF(Z5="…",0,1)+IF(Z6="…",0,1)+IF(Z7="…",0,1)+IF(Z8="…",0,1)+IF(Z9="…",0,1)+IF(Z10="…",0,1)+IF(Z11="…",0,1)+IF(Z12="…",0,1)+IF(Z13="…",0,1)+IF(Z14="…",0,1)+IF(Z15="…",0,1)+IF(Z16="…",0,1)+IF(Z17="…",0,1)+IF(Z18="…",0,1)+IF(Z19="…",0,1)+IF(Z20="…",0,1)+IF(Z21="…",0,1)+IF(Z22="…",0,1)</f>
        <v>14</v>
      </c>
      <c r="AG29" s="801" t="s">
        <v>503</v>
      </c>
      <c r="AH29" s="802"/>
      <c r="AI29" s="659">
        <f>AF29*101+AK27</f>
        <v>1428</v>
      </c>
    </row>
    <row r="30" spans="1:141" hidden="1" x14ac:dyDescent="0.2">
      <c r="B30" s="206"/>
      <c r="C30" s="119"/>
      <c r="D30" s="2"/>
      <c r="E30" s="85"/>
      <c r="F30" s="2"/>
      <c r="G30" s="90"/>
      <c r="H30" s="90"/>
      <c r="I30" s="91"/>
      <c r="J30" s="89"/>
      <c r="K30" s="85"/>
      <c r="L30" s="120"/>
      <c r="M30" s="89"/>
      <c r="AG30" s="792" t="s">
        <v>609</v>
      </c>
      <c r="AH30" s="793"/>
      <c r="AI30" s="205">
        <f>2121+AK27</f>
        <v>2135</v>
      </c>
    </row>
    <row r="31" spans="1:141" x14ac:dyDescent="0.2">
      <c r="B31" s="329"/>
      <c r="F31" s="2"/>
      <c r="G31" s="90"/>
      <c r="H31" s="90"/>
      <c r="I31" s="91"/>
      <c r="J31" s="89"/>
      <c r="K31" s="89"/>
      <c r="L31" s="89"/>
      <c r="M31" s="89"/>
    </row>
    <row r="32" spans="1:141" x14ac:dyDescent="0.2">
      <c r="B32" s="329"/>
      <c r="D32" s="2"/>
      <c r="E32" s="85"/>
      <c r="F32" s="2"/>
      <c r="G32" s="90"/>
      <c r="H32" s="90"/>
      <c r="I32" s="91"/>
      <c r="J32" s="89"/>
      <c r="K32" s="89"/>
      <c r="L32" s="89"/>
      <c r="M32" s="89"/>
    </row>
    <row r="33" spans="2:13" x14ac:dyDescent="0.2">
      <c r="B33" s="329"/>
      <c r="D33" s="2"/>
      <c r="E33" s="85"/>
      <c r="F33" s="2"/>
      <c r="G33" s="90"/>
      <c r="H33" s="90"/>
      <c r="I33" s="91"/>
      <c r="J33" s="89"/>
      <c r="K33" s="89"/>
      <c r="L33" s="89"/>
      <c r="M33" s="89"/>
    </row>
    <row r="34" spans="2:13" x14ac:dyDescent="0.2">
      <c r="B34" s="329"/>
    </row>
    <row r="35" spans="2:13" x14ac:dyDescent="0.2">
      <c r="B35" s="329"/>
    </row>
    <row r="36" spans="2:13" x14ac:dyDescent="0.2">
      <c r="B36" s="329"/>
    </row>
    <row r="37" spans="2:13" x14ac:dyDescent="0.2">
      <c r="B37" s="329"/>
    </row>
    <row r="38" spans="2:13" x14ac:dyDescent="0.2">
      <c r="B38" s="329"/>
    </row>
    <row r="39" spans="2:13" x14ac:dyDescent="0.2">
      <c r="B39" s="329"/>
    </row>
    <row r="40" spans="2:13" x14ac:dyDescent="0.2">
      <c r="B40" s="329"/>
    </row>
    <row r="41" spans="2:13" x14ac:dyDescent="0.2">
      <c r="B41" s="329"/>
    </row>
    <row r="42" spans="2:13" x14ac:dyDescent="0.2">
      <c r="B42" s="329"/>
    </row>
    <row r="43" spans="2:13" x14ac:dyDescent="0.2">
      <c r="B43" s="329"/>
    </row>
    <row r="44" spans="2:13" x14ac:dyDescent="0.2">
      <c r="B44" s="329"/>
    </row>
    <row r="45" spans="2:13" x14ac:dyDescent="0.2">
      <c r="B45" s="329"/>
    </row>
    <row r="46" spans="2:13" x14ac:dyDescent="0.2">
      <c r="B46" s="329"/>
    </row>
    <row r="47" spans="2:13" x14ac:dyDescent="0.2">
      <c r="B47" s="329"/>
    </row>
    <row r="48" spans="2:13" x14ac:dyDescent="0.2">
      <c r="B48" s="329"/>
    </row>
    <row r="49" spans="2:2" x14ac:dyDescent="0.2">
      <c r="B49" s="329"/>
    </row>
    <row r="50" spans="2:2" x14ac:dyDescent="0.2">
      <c r="B50" s="329"/>
    </row>
  </sheetData>
  <sheetProtection selectLockedCells="1" selectUnlockedCells="1"/>
  <mergeCells count="6">
    <mergeCell ref="AG30:AH30"/>
    <mergeCell ref="K23:M23"/>
    <mergeCell ref="AG27:AH27"/>
    <mergeCell ref="AG28:AH28"/>
    <mergeCell ref="AG29:AH29"/>
    <mergeCell ref="AG26:AI26"/>
  </mergeCells>
  <phoneticPr fontId="0" type="noConversion"/>
  <pageMargins left="0.75" right="0.75" top="1" bottom="1" header="0.5" footer="0.5"/>
  <pageSetup paperSize="9" orientation="landscape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EDD1837-7600-4812-8866-2B3DE09A064C}">
          <x14:formula1>
            <xm:f>'https://enexis-my.sharepoint.com/personal/didier_van_haaren_enexis_nl/Documents/[F1-2019.10.xlsm]Blad2'!#REF!</xm:f>
          </x14:formula1>
          <xm:sqref>Z11 CP11</xm:sqref>
        </x14:dataValidation>
        <x14:dataValidation type="list" allowBlank="1" showInputMessage="1" showErrorMessage="1" xr:uid="{00000000-0002-0000-0D00-000000000000}">
          <x14:formula1>
            <xm:f>Blad2!$AV$2:$AV$25</xm:f>
          </x14:formula1>
          <xm:sqref>DJ2:DJ22 DT2:DT22 CZ2:CZ22 CU2:CU22 DO2:DO22 CK2:CK22 CF2:CF22 CA2:CA22 BV2:BV22 BQ2:BQ22 BL2:BL22 BG2:BG22 BB2:BB22 AW2:AW22 AR2:AR22 AM2:AM22 AH2:AH22 DE2:DE22 AC2:AC22 DY2:DY22 ED2:ED22 CP2:CP10 CP12:CP22</xm:sqref>
        </x14:dataValidation>
        <x14:dataValidation type="list" allowBlank="1" showInputMessage="1" showErrorMessage="1" xr:uid="{00000000-0002-0000-0D00-000001000000}">
          <x14:formula1>
            <xm:f>Blad2!$AV$1:$AV$25</xm:f>
          </x14:formula1>
          <xm:sqref>Z2:Z10 Z12:Z22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Blad23">
    <tabColor theme="3" tint="0.39997558519241921"/>
    <pageSetUpPr autoPageBreaks="0"/>
  </sheetPr>
  <dimension ref="A1:AW128"/>
  <sheetViews>
    <sheetView zoomScale="90" zoomScaleNormal="90" workbookViewId="0">
      <pane ySplit="1" topLeftCell="A73" activePane="bottomLeft" state="frozenSplit"/>
      <selection activeCell="Y1" sqref="Y1"/>
      <selection pane="bottomLeft" activeCell="A57" sqref="A57"/>
    </sheetView>
  </sheetViews>
  <sheetFormatPr defaultColWidth="9.28515625" defaultRowHeight="12.75" x14ac:dyDescent="0.2"/>
  <cols>
    <col min="1" max="1" width="11.28515625" style="21" customWidth="1"/>
    <col min="2" max="2" width="16.7109375" style="21" customWidth="1"/>
    <col min="3" max="3" width="12.7109375" style="31" customWidth="1"/>
    <col min="4" max="4" width="16.7109375" style="21" customWidth="1"/>
    <col min="5" max="5" width="12.7109375" style="31" customWidth="1"/>
    <col min="6" max="6" width="16.7109375" style="21" customWidth="1"/>
    <col min="7" max="7" width="12.7109375" style="31" customWidth="1"/>
    <col min="8" max="8" width="16.7109375" style="21" customWidth="1"/>
    <col min="9" max="9" width="12.7109375" style="31" customWidth="1"/>
    <col min="10" max="10" width="16.7109375" style="21" customWidth="1"/>
    <col min="11" max="11" width="12.7109375" style="31" customWidth="1"/>
    <col min="12" max="12" width="16.7109375" style="21" customWidth="1"/>
    <col min="13" max="13" width="12.7109375" style="31" customWidth="1"/>
    <col min="14" max="14" width="16.7109375" style="21" customWidth="1"/>
    <col min="15" max="15" width="12.7109375" style="31" customWidth="1"/>
    <col min="16" max="16" width="16.7109375" style="21" customWidth="1"/>
    <col min="17" max="17" width="12.7109375" style="31" customWidth="1"/>
    <col min="18" max="18" width="16.7109375" style="21" customWidth="1"/>
    <col min="19" max="19" width="12.7109375" style="31" customWidth="1"/>
    <col min="20" max="20" width="16.7109375" style="21" customWidth="1"/>
    <col min="21" max="21" width="12.7109375" style="31" customWidth="1"/>
    <col min="22" max="22" width="16.7109375" style="21" customWidth="1"/>
    <col min="23" max="23" width="12.7109375" style="31" customWidth="1"/>
    <col min="24" max="24" width="16.7109375" style="21" customWidth="1"/>
    <col min="25" max="25" width="12.7109375" style="31" customWidth="1"/>
    <col min="26" max="26" width="16.7109375" style="21" customWidth="1"/>
    <col min="27" max="27" width="12.7109375" style="31" customWidth="1"/>
    <col min="28" max="28" width="16.7109375" style="21" customWidth="1"/>
    <col min="29" max="29" width="12.7109375" style="31" customWidth="1"/>
    <col min="30" max="30" width="16.7109375" style="21" customWidth="1"/>
    <col min="31" max="31" width="12.7109375" style="31" customWidth="1"/>
    <col min="32" max="32" width="16.7109375" style="21" customWidth="1"/>
    <col min="33" max="33" width="12.7109375" style="31" customWidth="1"/>
    <col min="34" max="34" width="16.7109375" style="21" customWidth="1"/>
    <col min="35" max="35" width="12.7109375" style="31" customWidth="1"/>
    <col min="36" max="36" width="16.7109375" style="21" customWidth="1"/>
    <col min="37" max="37" width="12.7109375" style="31" customWidth="1"/>
    <col min="38" max="38" width="16.7109375" style="21" customWidth="1"/>
    <col min="39" max="39" width="12.7109375" style="31" customWidth="1"/>
    <col min="40" max="40" width="16.7109375" style="21" customWidth="1"/>
    <col min="41" max="41" width="12.7109375" style="31" customWidth="1"/>
    <col min="42" max="42" width="16.7109375" style="21" hidden="1" customWidth="1"/>
    <col min="43" max="43" width="12.7109375" style="31" hidden="1" customWidth="1"/>
    <col min="44" max="44" width="16.7109375" style="21" hidden="1" customWidth="1"/>
    <col min="45" max="45" width="12.7109375" style="31" hidden="1" customWidth="1"/>
    <col min="46" max="46" width="13.28515625" style="116" bestFit="1" customWidth="1"/>
    <col min="47" max="47" width="11" style="21" customWidth="1"/>
    <col min="48" max="48" width="14.7109375" style="21" customWidth="1"/>
    <col min="49" max="49" width="4.42578125" style="110" customWidth="1"/>
    <col min="50" max="16384" width="9.28515625" style="21"/>
  </cols>
  <sheetData>
    <row r="1" spans="1:49" s="14" customFormat="1" ht="15" customHeight="1" thickBot="1" x14ac:dyDescent="0.25">
      <c r="A1" s="147" t="s">
        <v>95</v>
      </c>
      <c r="B1" s="9" t="s">
        <v>96</v>
      </c>
      <c r="C1" s="10" t="s">
        <v>11</v>
      </c>
      <c r="D1" s="11" t="s">
        <v>97</v>
      </c>
      <c r="E1" s="12" t="s">
        <v>11</v>
      </c>
      <c r="F1" s="9" t="s">
        <v>98</v>
      </c>
      <c r="G1" s="62" t="s">
        <v>11</v>
      </c>
      <c r="H1" s="11" t="s">
        <v>99</v>
      </c>
      <c r="I1" s="12" t="s">
        <v>11</v>
      </c>
      <c r="J1" s="63" t="s">
        <v>100</v>
      </c>
      <c r="K1" s="62" t="s">
        <v>11</v>
      </c>
      <c r="L1" s="11" t="s">
        <v>101</v>
      </c>
      <c r="M1" s="12" t="s">
        <v>11</v>
      </c>
      <c r="N1" s="63" t="s">
        <v>102</v>
      </c>
      <c r="O1" s="62" t="s">
        <v>11</v>
      </c>
      <c r="P1" s="11" t="s">
        <v>103</v>
      </c>
      <c r="Q1" s="12" t="s">
        <v>11</v>
      </c>
      <c r="R1" s="63" t="s">
        <v>104</v>
      </c>
      <c r="S1" s="62" t="s">
        <v>11</v>
      </c>
      <c r="T1" s="11" t="s">
        <v>105</v>
      </c>
      <c r="U1" s="12" t="s">
        <v>11</v>
      </c>
      <c r="V1" s="63" t="s">
        <v>106</v>
      </c>
      <c r="W1" s="62" t="s">
        <v>11</v>
      </c>
      <c r="X1" s="11" t="s">
        <v>107</v>
      </c>
      <c r="Y1" s="12" t="s">
        <v>11</v>
      </c>
      <c r="Z1" s="63" t="s">
        <v>108</v>
      </c>
      <c r="AA1" s="62" t="s">
        <v>11</v>
      </c>
      <c r="AB1" s="11" t="s">
        <v>109</v>
      </c>
      <c r="AC1" s="12" t="s">
        <v>11</v>
      </c>
      <c r="AD1" s="63" t="s">
        <v>110</v>
      </c>
      <c r="AE1" s="62" t="s">
        <v>11</v>
      </c>
      <c r="AF1" s="11" t="s">
        <v>111</v>
      </c>
      <c r="AG1" s="12" t="s">
        <v>11</v>
      </c>
      <c r="AH1" s="63" t="s">
        <v>112</v>
      </c>
      <c r="AI1" s="62" t="s">
        <v>11</v>
      </c>
      <c r="AJ1" s="11" t="s">
        <v>113</v>
      </c>
      <c r="AK1" s="12" t="s">
        <v>11</v>
      </c>
      <c r="AL1" s="9" t="s">
        <v>114</v>
      </c>
      <c r="AM1" s="10" t="s">
        <v>11</v>
      </c>
      <c r="AN1" s="11" t="s">
        <v>115</v>
      </c>
      <c r="AO1" s="12" t="s">
        <v>11</v>
      </c>
      <c r="AP1" s="9" t="s">
        <v>326</v>
      </c>
      <c r="AQ1" s="10" t="s">
        <v>11</v>
      </c>
      <c r="AR1" s="11" t="s">
        <v>327</v>
      </c>
      <c r="AS1" s="12" t="s">
        <v>11</v>
      </c>
      <c r="AT1" s="115" t="s">
        <v>364</v>
      </c>
      <c r="AV1" s="147" t="s">
        <v>341</v>
      </c>
      <c r="AW1" s="154" t="s">
        <v>442</v>
      </c>
    </row>
    <row r="2" spans="1:49" ht="15" customHeight="1" x14ac:dyDescent="0.2">
      <c r="A2" s="64" t="s">
        <v>118</v>
      </c>
      <c r="B2" s="65" t="s">
        <v>66</v>
      </c>
      <c r="C2" s="66">
        <v>9.6758101851851855E-4</v>
      </c>
      <c r="D2" s="67" t="s">
        <v>67</v>
      </c>
      <c r="E2" s="68">
        <v>9.6802083333333332E-4</v>
      </c>
      <c r="F2" s="65" t="s">
        <v>500</v>
      </c>
      <c r="G2" s="66">
        <v>9.6843750000000001E-4</v>
      </c>
      <c r="H2" s="67" t="s">
        <v>390</v>
      </c>
      <c r="I2" s="68">
        <v>9.6981481481481484E-4</v>
      </c>
      <c r="J2" s="65" t="s">
        <v>350</v>
      </c>
      <c r="K2" s="66">
        <v>9.706712962962963E-4</v>
      </c>
      <c r="L2" s="67" t="s">
        <v>63</v>
      </c>
      <c r="M2" s="68">
        <v>9.8166666666666671E-4</v>
      </c>
      <c r="N2" s="65" t="s">
        <v>365</v>
      </c>
      <c r="O2" s="66">
        <v>9.8185185185185181E-4</v>
      </c>
      <c r="P2" s="67" t="s">
        <v>496</v>
      </c>
      <c r="Q2" s="68">
        <v>9.8300925925925921E-4</v>
      </c>
      <c r="R2" s="65" t="s">
        <v>369</v>
      </c>
      <c r="S2" s="66">
        <v>9.8303240740740751E-4</v>
      </c>
      <c r="T2" s="67" t="s">
        <v>329</v>
      </c>
      <c r="U2" s="68">
        <v>9.8396990740740736E-4</v>
      </c>
      <c r="V2" s="65" t="s">
        <v>497</v>
      </c>
      <c r="W2" s="66">
        <v>9.857175925925925E-4</v>
      </c>
      <c r="X2" s="67" t="s">
        <v>349</v>
      </c>
      <c r="Y2" s="68">
        <v>9.8638888888888886E-4</v>
      </c>
      <c r="Z2" s="65" t="s">
        <v>542</v>
      </c>
      <c r="AA2" s="66">
        <v>9.8645833333333333E-4</v>
      </c>
      <c r="AB2" s="67" t="s">
        <v>418</v>
      </c>
      <c r="AC2" s="68">
        <v>9.8709490740740724E-4</v>
      </c>
      <c r="AD2" s="65" t="s">
        <v>481</v>
      </c>
      <c r="AE2" s="66">
        <v>9.8712962962962968E-4</v>
      </c>
      <c r="AF2" s="67" t="s">
        <v>347</v>
      </c>
      <c r="AG2" s="68">
        <v>9.8956018518518512E-4</v>
      </c>
      <c r="AH2" s="65" t="s">
        <v>348</v>
      </c>
      <c r="AI2" s="66">
        <v>9.9113425925925931E-4</v>
      </c>
      <c r="AJ2" s="67" t="s">
        <v>529</v>
      </c>
      <c r="AK2" s="68">
        <v>9.9497685185185192E-4</v>
      </c>
      <c r="AL2" s="65" t="s">
        <v>528</v>
      </c>
      <c r="AM2" s="66">
        <v>1.0175231481481483E-3</v>
      </c>
      <c r="AN2" s="67" t="s">
        <v>549</v>
      </c>
      <c r="AO2" s="68">
        <v>1.0270833333333334E-3</v>
      </c>
      <c r="AP2" s="65" t="s">
        <v>73</v>
      </c>
      <c r="AQ2" s="66" t="s">
        <v>73</v>
      </c>
      <c r="AR2" s="67" t="s">
        <v>73</v>
      </c>
      <c r="AS2" s="68" t="s">
        <v>73</v>
      </c>
      <c r="AV2" s="155" t="s">
        <v>66</v>
      </c>
      <c r="AW2" s="148">
        <v>44</v>
      </c>
    </row>
    <row r="3" spans="1:49" ht="15" customHeight="1" x14ac:dyDescent="0.2">
      <c r="A3" s="69" t="s">
        <v>119</v>
      </c>
      <c r="B3" s="65" t="s">
        <v>66</v>
      </c>
      <c r="C3" s="66">
        <v>9.5601851851851848E-4</v>
      </c>
      <c r="D3" s="67" t="s">
        <v>350</v>
      </c>
      <c r="E3" s="68">
        <v>9.565740740740741E-4</v>
      </c>
      <c r="F3" s="65" t="s">
        <v>390</v>
      </c>
      <c r="G3" s="66">
        <v>9.6527777777777768E-4</v>
      </c>
      <c r="H3" s="67" t="s">
        <v>496</v>
      </c>
      <c r="I3" s="68">
        <v>9.6576388888888894E-4</v>
      </c>
      <c r="J3" s="65" t="s">
        <v>67</v>
      </c>
      <c r="K3" s="66">
        <v>9.6612268518518531E-4</v>
      </c>
      <c r="L3" s="67" t="s">
        <v>63</v>
      </c>
      <c r="M3" s="68">
        <v>9.6726851851851846E-4</v>
      </c>
      <c r="N3" s="65" t="s">
        <v>329</v>
      </c>
      <c r="O3" s="66">
        <v>9.6729166666666665E-4</v>
      </c>
      <c r="P3" s="67" t="s">
        <v>348</v>
      </c>
      <c r="Q3" s="68">
        <v>9.6810185185185183E-4</v>
      </c>
      <c r="R3" s="65" t="s">
        <v>500</v>
      </c>
      <c r="S3" s="66">
        <v>9.6937500000000008E-4</v>
      </c>
      <c r="T3" s="67" t="s">
        <v>349</v>
      </c>
      <c r="U3" s="68">
        <v>9.7006944444444441E-4</v>
      </c>
      <c r="V3" s="65" t="s">
        <v>365</v>
      </c>
      <c r="W3" s="66">
        <v>9.7144675925925914E-4</v>
      </c>
      <c r="X3" s="67" t="s">
        <v>369</v>
      </c>
      <c r="Y3" s="68">
        <v>9.7208333333333337E-4</v>
      </c>
      <c r="Z3" s="65" t="s">
        <v>481</v>
      </c>
      <c r="AA3" s="66">
        <v>9.7234953703703708E-4</v>
      </c>
      <c r="AB3" s="67" t="s">
        <v>418</v>
      </c>
      <c r="AC3" s="68">
        <v>9.7376157407407405E-4</v>
      </c>
      <c r="AD3" s="65" t="s">
        <v>497</v>
      </c>
      <c r="AE3" s="66">
        <v>9.7561342592592589E-4</v>
      </c>
      <c r="AF3" s="67" t="s">
        <v>347</v>
      </c>
      <c r="AG3" s="68">
        <v>9.7686342592592595E-4</v>
      </c>
      <c r="AH3" s="65" t="s">
        <v>542</v>
      </c>
      <c r="AI3" s="66">
        <v>9.800347222222222E-4</v>
      </c>
      <c r="AJ3" s="67" t="s">
        <v>529</v>
      </c>
      <c r="AK3" s="68">
        <v>9.8070601851851856E-4</v>
      </c>
      <c r="AL3" s="65" t="s">
        <v>549</v>
      </c>
      <c r="AM3" s="66">
        <v>1.0006134259259258E-3</v>
      </c>
      <c r="AN3" s="67" t="s">
        <v>528</v>
      </c>
      <c r="AO3" s="68">
        <v>1.0029513888888889E-3</v>
      </c>
      <c r="AP3" s="65" t="s">
        <v>73</v>
      </c>
      <c r="AQ3" s="66" t="s">
        <v>73</v>
      </c>
      <c r="AR3" s="67" t="s">
        <v>73</v>
      </c>
      <c r="AS3" s="68" t="s">
        <v>73</v>
      </c>
      <c r="AV3" s="156" t="s">
        <v>350</v>
      </c>
      <c r="AW3" s="149">
        <v>77</v>
      </c>
    </row>
    <row r="4" spans="1:49" ht="15" customHeight="1" thickBot="1" x14ac:dyDescent="0.25">
      <c r="A4" s="69" t="s">
        <v>120</v>
      </c>
      <c r="B4" s="65" t="s">
        <v>66</v>
      </c>
      <c r="C4" s="66">
        <v>9.5245370370370362E-4</v>
      </c>
      <c r="D4" s="67" t="s">
        <v>67</v>
      </c>
      <c r="E4" s="68">
        <v>9.5550925925925925E-4</v>
      </c>
      <c r="F4" s="65" t="s">
        <v>500</v>
      </c>
      <c r="G4" s="66">
        <v>9.5774305555555554E-4</v>
      </c>
      <c r="H4" s="67" t="s">
        <v>349</v>
      </c>
      <c r="I4" s="68">
        <v>9.6194444444444441E-4</v>
      </c>
      <c r="J4" s="65" t="s">
        <v>369</v>
      </c>
      <c r="K4" s="66">
        <v>9.6451388888888889E-4</v>
      </c>
      <c r="L4" s="67" t="s">
        <v>496</v>
      </c>
      <c r="M4" s="68">
        <v>9.6489583333333334E-4</v>
      </c>
      <c r="N4" s="65" t="s">
        <v>350</v>
      </c>
      <c r="O4" s="66">
        <v>9.6553240740740746E-4</v>
      </c>
      <c r="P4" s="67" t="s">
        <v>365</v>
      </c>
      <c r="Q4" s="68">
        <v>9.6576388888888894E-4</v>
      </c>
      <c r="R4" s="65" t="s">
        <v>390</v>
      </c>
      <c r="S4" s="66">
        <v>9.6621527777777775E-4</v>
      </c>
      <c r="T4" s="67" t="s">
        <v>348</v>
      </c>
      <c r="U4" s="68">
        <v>9.6869212962962957E-4</v>
      </c>
      <c r="V4" s="65" t="s">
        <v>329</v>
      </c>
      <c r="W4" s="66">
        <v>9.6917824074074083E-4</v>
      </c>
      <c r="X4" s="67" t="s">
        <v>497</v>
      </c>
      <c r="Y4" s="68">
        <v>9.7026620370370376E-4</v>
      </c>
      <c r="Z4" s="65" t="s">
        <v>418</v>
      </c>
      <c r="AA4" s="66">
        <v>9.7278935185185185E-4</v>
      </c>
      <c r="AB4" s="67" t="s">
        <v>347</v>
      </c>
      <c r="AC4" s="68">
        <v>9.7317129629629631E-4</v>
      </c>
      <c r="AD4" s="65" t="s">
        <v>542</v>
      </c>
      <c r="AE4" s="66">
        <v>9.7601851851851853E-4</v>
      </c>
      <c r="AF4" s="67" t="s">
        <v>481</v>
      </c>
      <c r="AG4" s="68">
        <v>9.7621527777777778E-4</v>
      </c>
      <c r="AH4" s="65" t="s">
        <v>63</v>
      </c>
      <c r="AI4" s="66">
        <v>9.768750000000001E-4</v>
      </c>
      <c r="AJ4" s="67" t="s">
        <v>529</v>
      </c>
      <c r="AK4" s="68">
        <v>9.787962962962964E-4</v>
      </c>
      <c r="AL4" s="65" t="s">
        <v>549</v>
      </c>
      <c r="AM4" s="66">
        <v>9.9472222222222214E-4</v>
      </c>
      <c r="AN4" s="67" t="s">
        <v>528</v>
      </c>
      <c r="AO4" s="68">
        <v>1.0021874999999998E-3</v>
      </c>
      <c r="AP4" s="65" t="s">
        <v>73</v>
      </c>
      <c r="AQ4" s="66" t="s">
        <v>73</v>
      </c>
      <c r="AR4" s="67" t="s">
        <v>73</v>
      </c>
      <c r="AS4" s="68" t="s">
        <v>73</v>
      </c>
      <c r="AV4" s="156" t="s">
        <v>67</v>
      </c>
      <c r="AW4" s="150">
        <v>5</v>
      </c>
    </row>
    <row r="5" spans="1:49" ht="15" customHeight="1" thickBot="1" x14ac:dyDescent="0.25">
      <c r="A5" s="74" t="s">
        <v>121</v>
      </c>
      <c r="B5" s="71" t="s">
        <v>66</v>
      </c>
      <c r="C5" s="72">
        <v>9.3155092592592584E-4</v>
      </c>
      <c r="D5" s="71" t="s">
        <v>350</v>
      </c>
      <c r="E5" s="73">
        <v>9.3284722222222217E-4</v>
      </c>
      <c r="F5" s="71" t="s">
        <v>67</v>
      </c>
      <c r="G5" s="72">
        <v>9.3969907407407403E-4</v>
      </c>
      <c r="H5" s="71" t="s">
        <v>390</v>
      </c>
      <c r="I5" s="73">
        <v>9.4120370370370365E-4</v>
      </c>
      <c r="J5" s="71" t="s">
        <v>500</v>
      </c>
      <c r="K5" s="72">
        <v>9.4261574074074072E-4</v>
      </c>
      <c r="L5" s="71" t="s">
        <v>349</v>
      </c>
      <c r="M5" s="73">
        <v>9.4706018518518533E-4</v>
      </c>
      <c r="N5" s="71" t="s">
        <v>369</v>
      </c>
      <c r="O5" s="72">
        <v>9.5021990740740744E-4</v>
      </c>
      <c r="P5" s="71" t="s">
        <v>529</v>
      </c>
      <c r="Q5" s="73">
        <v>9.5259259259259255E-4</v>
      </c>
      <c r="R5" s="71" t="s">
        <v>63</v>
      </c>
      <c r="S5" s="72">
        <v>9.5270833333333351E-4</v>
      </c>
      <c r="T5" s="71" t="s">
        <v>347</v>
      </c>
      <c r="U5" s="73">
        <v>9.5811342592592595E-4</v>
      </c>
      <c r="V5" s="71" t="s">
        <v>329</v>
      </c>
      <c r="W5" s="72">
        <v>9.5557870370370371E-4</v>
      </c>
      <c r="X5" s="71" t="s">
        <v>348</v>
      </c>
      <c r="Y5" s="73">
        <v>9.5567129629629637E-4</v>
      </c>
      <c r="Z5" s="71" t="s">
        <v>542</v>
      </c>
      <c r="AA5" s="72">
        <v>9.5643518518518517E-4</v>
      </c>
      <c r="AB5" s="71" t="s">
        <v>497</v>
      </c>
      <c r="AC5" s="73">
        <v>9.5733796296296289E-4</v>
      </c>
      <c r="AD5" s="71" t="s">
        <v>365</v>
      </c>
      <c r="AE5" s="72">
        <v>9.5803240740740734E-4</v>
      </c>
      <c r="AF5" s="71" t="s">
        <v>481</v>
      </c>
      <c r="AG5" s="73">
        <v>9.6084490740740755E-4</v>
      </c>
      <c r="AH5" s="71" t="s">
        <v>496</v>
      </c>
      <c r="AI5" s="72">
        <v>9.6087962962962956E-4</v>
      </c>
      <c r="AJ5" s="71" t="s">
        <v>418</v>
      </c>
      <c r="AK5" s="73">
        <v>9.6162037037037038E-4</v>
      </c>
      <c r="AL5" s="71" t="s">
        <v>549</v>
      </c>
      <c r="AM5" s="72">
        <v>9.7638888888888873E-4</v>
      </c>
      <c r="AN5" s="71" t="s">
        <v>528</v>
      </c>
      <c r="AO5" s="73">
        <v>9.9614583333333348E-4</v>
      </c>
      <c r="AP5" s="71" t="s">
        <v>73</v>
      </c>
      <c r="AQ5" s="72" t="s">
        <v>73</v>
      </c>
      <c r="AR5" s="71" t="s">
        <v>73</v>
      </c>
      <c r="AS5" s="73" t="s">
        <v>73</v>
      </c>
      <c r="AT5" s="115">
        <v>1.0157175925925926E-3</v>
      </c>
      <c r="AV5" s="156" t="s">
        <v>500</v>
      </c>
      <c r="AW5" s="150">
        <v>16</v>
      </c>
    </row>
    <row r="6" spans="1:49" ht="15" customHeight="1" x14ac:dyDescent="0.2">
      <c r="A6" s="64" t="s">
        <v>122</v>
      </c>
      <c r="B6" s="65" t="s">
        <v>500</v>
      </c>
      <c r="C6" s="66">
        <v>1.0457638888888888E-3</v>
      </c>
      <c r="D6" s="67" t="s">
        <v>67</v>
      </c>
      <c r="E6" s="68">
        <v>1.0488078703703703E-3</v>
      </c>
      <c r="F6" s="65" t="s">
        <v>350</v>
      </c>
      <c r="G6" s="66">
        <v>1.0570370370370371E-3</v>
      </c>
      <c r="H6" s="67" t="s">
        <v>66</v>
      </c>
      <c r="I6" s="68">
        <v>1.0601967592592592E-3</v>
      </c>
      <c r="J6" s="65" t="s">
        <v>390</v>
      </c>
      <c r="K6" s="66">
        <v>1.0610300925925928E-3</v>
      </c>
      <c r="L6" s="67" t="s">
        <v>496</v>
      </c>
      <c r="M6" s="68">
        <v>1.0626736111111112E-3</v>
      </c>
      <c r="N6" s="65" t="s">
        <v>418</v>
      </c>
      <c r="O6" s="66">
        <v>1.0642592592592594E-3</v>
      </c>
      <c r="P6" s="67" t="s">
        <v>329</v>
      </c>
      <c r="Q6" s="68">
        <v>1.0652777777777778E-3</v>
      </c>
      <c r="R6" s="65" t="s">
        <v>365</v>
      </c>
      <c r="S6" s="66">
        <v>1.0687384259259259E-3</v>
      </c>
      <c r="T6" s="67" t="s">
        <v>63</v>
      </c>
      <c r="U6" s="68">
        <v>1.0692708333333333E-3</v>
      </c>
      <c r="V6" s="65" t="s">
        <v>348</v>
      </c>
      <c r="W6" s="66">
        <v>1.0694560185185186E-3</v>
      </c>
      <c r="X6" s="67" t="s">
        <v>369</v>
      </c>
      <c r="Y6" s="68">
        <v>1.0717824074074074E-3</v>
      </c>
      <c r="Z6" s="65" t="s">
        <v>542</v>
      </c>
      <c r="AA6" s="66">
        <v>1.0749305555555555E-3</v>
      </c>
      <c r="AB6" s="67" t="s">
        <v>347</v>
      </c>
      <c r="AC6" s="68">
        <v>1.0750578703703703E-3</v>
      </c>
      <c r="AD6" s="65" t="s">
        <v>529</v>
      </c>
      <c r="AE6" s="66">
        <v>1.0757523148148148E-3</v>
      </c>
      <c r="AF6" s="67" t="s">
        <v>497</v>
      </c>
      <c r="AG6" s="68">
        <v>1.0757986111111111E-3</v>
      </c>
      <c r="AH6" s="65" t="s">
        <v>349</v>
      </c>
      <c r="AI6" s="66">
        <v>1.0763194444444444E-3</v>
      </c>
      <c r="AJ6" s="67" t="s">
        <v>481</v>
      </c>
      <c r="AK6" s="68">
        <v>1.0823842592592593E-3</v>
      </c>
      <c r="AL6" s="65" t="s">
        <v>549</v>
      </c>
      <c r="AM6" s="66">
        <v>1.090138888888889E-3</v>
      </c>
      <c r="AN6" s="67" t="s">
        <v>528</v>
      </c>
      <c r="AO6" s="68">
        <v>1.0908912037037035E-3</v>
      </c>
      <c r="AP6" s="65" t="s">
        <v>73</v>
      </c>
      <c r="AQ6" s="66" t="s">
        <v>73</v>
      </c>
      <c r="AR6" s="67" t="s">
        <v>73</v>
      </c>
      <c r="AS6" s="68" t="s">
        <v>73</v>
      </c>
      <c r="AV6" s="156" t="s">
        <v>390</v>
      </c>
      <c r="AW6" s="152">
        <v>33</v>
      </c>
    </row>
    <row r="7" spans="1:49" ht="15" customHeight="1" x14ac:dyDescent="0.2">
      <c r="A7" s="69" t="s">
        <v>123</v>
      </c>
      <c r="B7" s="65" t="s">
        <v>67</v>
      </c>
      <c r="C7" s="66">
        <v>1.0283101851851853E-3</v>
      </c>
      <c r="D7" s="67" t="s">
        <v>500</v>
      </c>
      <c r="E7" s="68">
        <v>1.0287152777777777E-3</v>
      </c>
      <c r="F7" s="65" t="s">
        <v>66</v>
      </c>
      <c r="G7" s="66">
        <v>1.0352893518518519E-3</v>
      </c>
      <c r="H7" s="67" t="s">
        <v>350</v>
      </c>
      <c r="I7" s="68">
        <v>1.0365393518518519E-3</v>
      </c>
      <c r="J7" s="65" t="s">
        <v>329</v>
      </c>
      <c r="K7" s="66">
        <v>1.0378356481481482E-3</v>
      </c>
      <c r="L7" s="67" t="s">
        <v>390</v>
      </c>
      <c r="M7" s="68">
        <v>1.0384837962962962E-3</v>
      </c>
      <c r="N7" s="65" t="s">
        <v>369</v>
      </c>
      <c r="O7" s="66">
        <v>1.0416666666666667E-3</v>
      </c>
      <c r="P7" s="67" t="s">
        <v>529</v>
      </c>
      <c r="Q7" s="68">
        <v>1.0418634259259259E-3</v>
      </c>
      <c r="R7" s="65" t="s">
        <v>349</v>
      </c>
      <c r="S7" s="66">
        <v>1.0424537037037036E-3</v>
      </c>
      <c r="T7" s="67" t="s">
        <v>365</v>
      </c>
      <c r="U7" s="68">
        <v>1.0427430555555557E-3</v>
      </c>
      <c r="V7" s="65" t="s">
        <v>418</v>
      </c>
      <c r="W7" s="66">
        <v>1.0438888888888889E-3</v>
      </c>
      <c r="X7" s="67" t="s">
        <v>496</v>
      </c>
      <c r="Y7" s="68">
        <v>1.0466319444444444E-3</v>
      </c>
      <c r="Z7" s="65" t="s">
        <v>542</v>
      </c>
      <c r="AA7" s="66">
        <v>1.0469675925925926E-3</v>
      </c>
      <c r="AB7" s="67" t="s">
        <v>347</v>
      </c>
      <c r="AC7" s="68">
        <v>1.0499537037037038E-3</v>
      </c>
      <c r="AD7" s="65" t="s">
        <v>348</v>
      </c>
      <c r="AE7" s="66">
        <v>1.0514814814814816E-3</v>
      </c>
      <c r="AF7" s="67" t="s">
        <v>63</v>
      </c>
      <c r="AG7" s="68">
        <v>1.0542592592592593E-3</v>
      </c>
      <c r="AH7" s="65" t="s">
        <v>481</v>
      </c>
      <c r="AI7" s="66">
        <v>1.0547337962962965E-3</v>
      </c>
      <c r="AJ7" s="67" t="s">
        <v>497</v>
      </c>
      <c r="AK7" s="68">
        <v>1.0549074074074074E-3</v>
      </c>
      <c r="AL7" s="65" t="s">
        <v>549</v>
      </c>
      <c r="AM7" s="66">
        <v>1.0637037037037036E-3</v>
      </c>
      <c r="AN7" s="67" t="s">
        <v>528</v>
      </c>
      <c r="AO7" s="68">
        <v>1.0756018518518517E-3</v>
      </c>
      <c r="AP7" s="65" t="s">
        <v>73</v>
      </c>
      <c r="AQ7" s="66" t="s">
        <v>73</v>
      </c>
      <c r="AR7" s="67" t="s">
        <v>73</v>
      </c>
      <c r="AS7" s="68" t="s">
        <v>73</v>
      </c>
      <c r="AV7" s="156" t="s">
        <v>496</v>
      </c>
      <c r="AW7" s="152">
        <v>10</v>
      </c>
    </row>
    <row r="8" spans="1:49" ht="15" customHeight="1" thickBot="1" x14ac:dyDescent="0.25">
      <c r="A8" s="69" t="s">
        <v>124</v>
      </c>
      <c r="B8" s="65" t="s">
        <v>500</v>
      </c>
      <c r="C8" s="66">
        <v>1.0366782407407408E-3</v>
      </c>
      <c r="D8" s="67" t="s">
        <v>67</v>
      </c>
      <c r="E8" s="68">
        <v>1.0386342592592593E-3</v>
      </c>
      <c r="F8" s="65" t="s">
        <v>66</v>
      </c>
      <c r="G8" s="66">
        <v>1.0455324074074076E-3</v>
      </c>
      <c r="H8" s="67" t="s">
        <v>350</v>
      </c>
      <c r="I8" s="68">
        <v>1.0461689814814815E-3</v>
      </c>
      <c r="J8" s="65" t="s">
        <v>349</v>
      </c>
      <c r="K8" s="66">
        <v>1.0511342592592593E-3</v>
      </c>
      <c r="L8" s="67" t="s">
        <v>329</v>
      </c>
      <c r="M8" s="68">
        <v>1.0521990740740741E-3</v>
      </c>
      <c r="N8" s="65" t="s">
        <v>529</v>
      </c>
      <c r="O8" s="66">
        <v>1.0527199074074074E-3</v>
      </c>
      <c r="P8" s="67" t="s">
        <v>390</v>
      </c>
      <c r="Q8" s="68">
        <v>1.0527662037037035E-3</v>
      </c>
      <c r="R8" s="65" t="s">
        <v>418</v>
      </c>
      <c r="S8" s="66">
        <v>1.0528356481481482E-3</v>
      </c>
      <c r="T8" s="67" t="s">
        <v>365</v>
      </c>
      <c r="U8" s="68">
        <v>1.0552430555555556E-3</v>
      </c>
      <c r="V8" s="65" t="s">
        <v>63</v>
      </c>
      <c r="W8" s="66">
        <v>1.0570949074074074E-3</v>
      </c>
      <c r="X8" s="67" t="s">
        <v>496</v>
      </c>
      <c r="Y8" s="68">
        <v>1.0577777777777779E-3</v>
      </c>
      <c r="Z8" s="65" t="s">
        <v>369</v>
      </c>
      <c r="AA8" s="66">
        <v>1.0594907407407406E-3</v>
      </c>
      <c r="AB8" s="67" t="s">
        <v>481</v>
      </c>
      <c r="AC8" s="68">
        <v>1.0603935185185185E-3</v>
      </c>
      <c r="AD8" s="65" t="s">
        <v>347</v>
      </c>
      <c r="AE8" s="66">
        <v>1.0606249999999999E-3</v>
      </c>
      <c r="AF8" s="67" t="s">
        <v>348</v>
      </c>
      <c r="AG8" s="68">
        <v>1.0606828703703705E-3</v>
      </c>
      <c r="AH8" s="65" t="s">
        <v>542</v>
      </c>
      <c r="AI8" s="66">
        <v>1.061099537037037E-3</v>
      </c>
      <c r="AJ8" s="67" t="s">
        <v>497</v>
      </c>
      <c r="AK8" s="68">
        <v>1.0663425925925927E-3</v>
      </c>
      <c r="AL8" s="65" t="s">
        <v>549</v>
      </c>
      <c r="AM8" s="66">
        <v>1.0808680555555556E-3</v>
      </c>
      <c r="AN8" s="67" t="s">
        <v>528</v>
      </c>
      <c r="AO8" s="68">
        <v>1.0824652777777777E-3</v>
      </c>
      <c r="AP8" s="65" t="s">
        <v>73</v>
      </c>
      <c r="AQ8" s="66" t="s">
        <v>73</v>
      </c>
      <c r="AR8" s="67" t="s">
        <v>73</v>
      </c>
      <c r="AS8" s="68" t="s">
        <v>73</v>
      </c>
      <c r="AV8" s="156" t="s">
        <v>705</v>
      </c>
      <c r="AW8" s="152">
        <v>47</v>
      </c>
    </row>
    <row r="9" spans="1:49" ht="15" customHeight="1" thickBot="1" x14ac:dyDescent="0.25">
      <c r="A9" s="74" t="s">
        <v>125</v>
      </c>
      <c r="B9" s="71" t="s">
        <v>500</v>
      </c>
      <c r="C9" s="72">
        <v>1.0169675925925925E-3</v>
      </c>
      <c r="D9" s="71" t="s">
        <v>67</v>
      </c>
      <c r="E9" s="73">
        <v>1.0203703703703705E-3</v>
      </c>
      <c r="F9" s="71" t="s">
        <v>66</v>
      </c>
      <c r="G9" s="72">
        <v>1.0207175925925926E-3</v>
      </c>
      <c r="H9" s="71" t="s">
        <v>350</v>
      </c>
      <c r="I9" s="73">
        <v>1.0214814814814815E-3</v>
      </c>
      <c r="J9" s="71" t="s">
        <v>390</v>
      </c>
      <c r="K9" s="72">
        <v>1.0272222222222223E-3</v>
      </c>
      <c r="L9" s="71" t="s">
        <v>369</v>
      </c>
      <c r="M9" s="73">
        <v>1.0272800925925924E-3</v>
      </c>
      <c r="N9" s="71" t="s">
        <v>418</v>
      </c>
      <c r="O9" s="72">
        <v>1.0279282407407409E-3</v>
      </c>
      <c r="P9" s="71" t="s">
        <v>349</v>
      </c>
      <c r="Q9" s="73">
        <v>1.0302662037037036E-3</v>
      </c>
      <c r="R9" s="71" t="s">
        <v>63</v>
      </c>
      <c r="S9" s="72">
        <v>1.0303472222222222E-3</v>
      </c>
      <c r="T9" s="71" t="s">
        <v>529</v>
      </c>
      <c r="U9" s="73">
        <v>1.0305902777777776E-3</v>
      </c>
      <c r="V9" s="71" t="s">
        <v>348</v>
      </c>
      <c r="W9" s="72">
        <v>1.0357407407407407E-3</v>
      </c>
      <c r="X9" s="71" t="s">
        <v>542</v>
      </c>
      <c r="Y9" s="73">
        <v>1.0360300925925927E-3</v>
      </c>
      <c r="Z9" s="71" t="s">
        <v>496</v>
      </c>
      <c r="AA9" s="72">
        <v>1.0361805555555556E-3</v>
      </c>
      <c r="AB9" s="71" t="s">
        <v>347</v>
      </c>
      <c r="AC9" s="73">
        <v>1.0388425925925927E-3</v>
      </c>
      <c r="AD9" s="71" t="s">
        <v>365</v>
      </c>
      <c r="AE9" s="72">
        <v>1.0399768518518518E-3</v>
      </c>
      <c r="AF9" s="71" t="s">
        <v>497</v>
      </c>
      <c r="AG9" s="73">
        <v>1.0419675925925926E-3</v>
      </c>
      <c r="AH9" s="71" t="s">
        <v>329</v>
      </c>
      <c r="AI9" s="72">
        <v>1.0420601851851851E-3</v>
      </c>
      <c r="AJ9" s="71" t="s">
        <v>481</v>
      </c>
      <c r="AK9" s="73">
        <v>1.0441782407407407E-3</v>
      </c>
      <c r="AL9" s="71" t="s">
        <v>549</v>
      </c>
      <c r="AM9" s="72">
        <v>1.062025462962963E-3</v>
      </c>
      <c r="AN9" s="71" t="s">
        <v>528</v>
      </c>
      <c r="AO9" s="73">
        <v>1.0624884259259261E-3</v>
      </c>
      <c r="AP9" s="71" t="s">
        <v>73</v>
      </c>
      <c r="AQ9" s="72" t="s">
        <v>73</v>
      </c>
      <c r="AR9" s="71" t="s">
        <v>73</v>
      </c>
      <c r="AS9" s="73" t="s">
        <v>73</v>
      </c>
      <c r="AT9" s="115">
        <v>1.0959374999999999E-3</v>
      </c>
      <c r="AV9" s="156" t="s">
        <v>348</v>
      </c>
      <c r="AW9" s="354">
        <v>3</v>
      </c>
    </row>
    <row r="10" spans="1:49" ht="15" customHeight="1" x14ac:dyDescent="0.2">
      <c r="A10" s="64" t="s">
        <v>126</v>
      </c>
      <c r="B10" s="65" t="s">
        <v>67</v>
      </c>
      <c r="C10" s="66">
        <v>1.0869328703703703E-3</v>
      </c>
      <c r="D10" s="67" t="s">
        <v>66</v>
      </c>
      <c r="E10" s="68">
        <v>1.0893287037037037E-3</v>
      </c>
      <c r="F10" s="65" t="s">
        <v>500</v>
      </c>
      <c r="G10" s="66">
        <v>1.0898958333333333E-3</v>
      </c>
      <c r="H10" s="67" t="s">
        <v>390</v>
      </c>
      <c r="I10" s="68">
        <v>1.0918287037037038E-3</v>
      </c>
      <c r="J10" s="65" t="s">
        <v>350</v>
      </c>
      <c r="K10" s="66">
        <v>1.0955208333333333E-3</v>
      </c>
      <c r="L10" s="67" t="s">
        <v>348</v>
      </c>
      <c r="M10" s="68">
        <v>1.1023032407407407E-3</v>
      </c>
      <c r="N10" s="65" t="s">
        <v>496</v>
      </c>
      <c r="O10" s="66">
        <v>1.1044907407407407E-3</v>
      </c>
      <c r="P10" s="67" t="s">
        <v>365</v>
      </c>
      <c r="Q10" s="68">
        <v>1.1047106481481483E-3</v>
      </c>
      <c r="R10" s="65" t="s">
        <v>481</v>
      </c>
      <c r="S10" s="66">
        <v>1.1049305555555554E-3</v>
      </c>
      <c r="T10" s="67" t="s">
        <v>349</v>
      </c>
      <c r="U10" s="68">
        <v>1.1054050925925925E-3</v>
      </c>
      <c r="V10" s="65" t="s">
        <v>369</v>
      </c>
      <c r="W10" s="66">
        <v>1.1055208333333336E-3</v>
      </c>
      <c r="X10" s="67" t="s">
        <v>329</v>
      </c>
      <c r="Y10" s="68">
        <v>1.1063773148148148E-3</v>
      </c>
      <c r="Z10" s="65" t="s">
        <v>529</v>
      </c>
      <c r="AA10" s="66">
        <v>1.1068402777777778E-3</v>
      </c>
      <c r="AB10" s="67" t="s">
        <v>542</v>
      </c>
      <c r="AC10" s="68">
        <v>1.1075810185185186E-3</v>
      </c>
      <c r="AD10" s="65" t="s">
        <v>63</v>
      </c>
      <c r="AE10" s="66">
        <v>1.1079745370370371E-3</v>
      </c>
      <c r="AF10" s="67" t="s">
        <v>418</v>
      </c>
      <c r="AG10" s="68">
        <v>1.1082870370370372E-3</v>
      </c>
      <c r="AH10" s="65" t="s">
        <v>347</v>
      </c>
      <c r="AI10" s="66">
        <v>1.1090277777777778E-3</v>
      </c>
      <c r="AJ10" s="67" t="s">
        <v>528</v>
      </c>
      <c r="AK10" s="68">
        <v>1.1209143518518519E-3</v>
      </c>
      <c r="AL10" s="65" t="s">
        <v>549</v>
      </c>
      <c r="AM10" s="66">
        <v>1.1298495370370371E-3</v>
      </c>
      <c r="AN10" s="67" t="s">
        <v>497</v>
      </c>
      <c r="AO10" s="68" t="s">
        <v>73</v>
      </c>
      <c r="AP10" s="65" t="s">
        <v>73</v>
      </c>
      <c r="AQ10" s="66" t="s">
        <v>73</v>
      </c>
      <c r="AR10" s="67" t="s">
        <v>73</v>
      </c>
      <c r="AS10" s="68" t="s">
        <v>73</v>
      </c>
      <c r="AV10" s="156" t="s">
        <v>329</v>
      </c>
      <c r="AW10" s="354">
        <v>27</v>
      </c>
    </row>
    <row r="11" spans="1:49" ht="15" customHeight="1" x14ac:dyDescent="0.2">
      <c r="A11" s="69" t="s">
        <v>127</v>
      </c>
      <c r="B11" s="65" t="s">
        <v>350</v>
      </c>
      <c r="C11" s="66">
        <v>1.0802083333333332E-3</v>
      </c>
      <c r="D11" s="67" t="s">
        <v>67</v>
      </c>
      <c r="E11" s="68">
        <v>1.0805208333333333E-3</v>
      </c>
      <c r="F11" s="65" t="s">
        <v>390</v>
      </c>
      <c r="G11" s="66">
        <v>1.0827662037037036E-3</v>
      </c>
      <c r="H11" s="67" t="s">
        <v>66</v>
      </c>
      <c r="I11" s="68">
        <v>1.0883912037037036E-3</v>
      </c>
      <c r="J11" s="65" t="s">
        <v>329</v>
      </c>
      <c r="K11" s="66">
        <v>1.0890740740740741E-3</v>
      </c>
      <c r="L11" s="67" t="s">
        <v>418</v>
      </c>
      <c r="M11" s="68">
        <v>1.0895949074074074E-3</v>
      </c>
      <c r="N11" s="65" t="s">
        <v>500</v>
      </c>
      <c r="O11" s="66">
        <v>1.0897916666666666E-3</v>
      </c>
      <c r="P11" s="67" t="s">
        <v>529</v>
      </c>
      <c r="Q11" s="68">
        <v>1.0913888888888889E-3</v>
      </c>
      <c r="R11" s="65" t="s">
        <v>348</v>
      </c>
      <c r="S11" s="66">
        <v>1.0918518518518519E-3</v>
      </c>
      <c r="T11" s="67" t="s">
        <v>496</v>
      </c>
      <c r="U11" s="68">
        <v>1.0932291666666666E-3</v>
      </c>
      <c r="V11" s="65" t="s">
        <v>63</v>
      </c>
      <c r="W11" s="66">
        <v>1.0943402777777776E-3</v>
      </c>
      <c r="X11" s="67" t="s">
        <v>542</v>
      </c>
      <c r="Y11" s="68">
        <v>1.095300925925926E-3</v>
      </c>
      <c r="Z11" s="65" t="s">
        <v>365</v>
      </c>
      <c r="AA11" s="66">
        <v>1.0959953703703704E-3</v>
      </c>
      <c r="AB11" s="67" t="s">
        <v>481</v>
      </c>
      <c r="AC11" s="68">
        <v>1.0969791666666667E-3</v>
      </c>
      <c r="AD11" s="65" t="s">
        <v>347</v>
      </c>
      <c r="AE11" s="66">
        <v>1.0970370370370372E-3</v>
      </c>
      <c r="AF11" s="67" t="s">
        <v>369</v>
      </c>
      <c r="AG11" s="68">
        <v>1.0970833333333334E-3</v>
      </c>
      <c r="AH11" s="65" t="s">
        <v>349</v>
      </c>
      <c r="AI11" s="66">
        <v>1.1076851851851853E-3</v>
      </c>
      <c r="AJ11" s="67" t="s">
        <v>497</v>
      </c>
      <c r="AK11" s="68">
        <v>1.1101157407407407E-3</v>
      </c>
      <c r="AL11" s="65" t="s">
        <v>528</v>
      </c>
      <c r="AM11" s="66">
        <v>1.1125115740740741E-3</v>
      </c>
      <c r="AN11" s="67" t="s">
        <v>549</v>
      </c>
      <c r="AO11" s="68">
        <v>1.1137615740740741E-3</v>
      </c>
      <c r="AP11" s="65" t="s">
        <v>73</v>
      </c>
      <c r="AQ11" s="66" t="s">
        <v>73</v>
      </c>
      <c r="AR11" s="67" t="s">
        <v>73</v>
      </c>
      <c r="AS11" s="68" t="s">
        <v>73</v>
      </c>
      <c r="AV11" s="156" t="s">
        <v>349</v>
      </c>
      <c r="AW11" s="355">
        <v>8</v>
      </c>
    </row>
    <row r="12" spans="1:49" ht="15" customHeight="1" thickBot="1" x14ac:dyDescent="0.25">
      <c r="A12" s="69" t="s">
        <v>128</v>
      </c>
      <c r="B12" s="65" t="s">
        <v>350</v>
      </c>
      <c r="C12" s="66">
        <v>1.0744212962962962E-3</v>
      </c>
      <c r="D12" s="67" t="s">
        <v>67</v>
      </c>
      <c r="E12" s="68">
        <v>1.0789583333333335E-3</v>
      </c>
      <c r="F12" s="65" t="s">
        <v>500</v>
      </c>
      <c r="G12" s="66">
        <v>1.0792592592592592E-3</v>
      </c>
      <c r="H12" s="67" t="s">
        <v>66</v>
      </c>
      <c r="I12" s="68">
        <v>1.0843634259259259E-3</v>
      </c>
      <c r="J12" s="65" t="s">
        <v>329</v>
      </c>
      <c r="K12" s="66">
        <v>1.0876620370370369E-3</v>
      </c>
      <c r="L12" s="67" t="s">
        <v>63</v>
      </c>
      <c r="M12" s="68">
        <v>1.0908101851851851E-3</v>
      </c>
      <c r="N12" s="65" t="s">
        <v>390</v>
      </c>
      <c r="O12" s="66">
        <v>1.0931365740740743E-3</v>
      </c>
      <c r="P12" s="67" t="s">
        <v>418</v>
      </c>
      <c r="Q12" s="68">
        <v>1.0938657407407407E-3</v>
      </c>
      <c r="R12" s="65" t="s">
        <v>542</v>
      </c>
      <c r="S12" s="66">
        <v>1.0949074074074075E-3</v>
      </c>
      <c r="T12" s="67" t="s">
        <v>365</v>
      </c>
      <c r="U12" s="68">
        <v>1.0970254629629631E-3</v>
      </c>
      <c r="V12" s="65" t="s">
        <v>529</v>
      </c>
      <c r="W12" s="66">
        <v>1.0988194444444446E-3</v>
      </c>
      <c r="X12" s="67" t="s">
        <v>347</v>
      </c>
      <c r="Y12" s="68">
        <v>1.1004398148148147E-3</v>
      </c>
      <c r="Z12" s="65" t="s">
        <v>348</v>
      </c>
      <c r="AA12" s="66">
        <v>1.1011805555555555E-3</v>
      </c>
      <c r="AB12" s="67" t="s">
        <v>481</v>
      </c>
      <c r="AC12" s="68">
        <v>1.1021180555555556E-3</v>
      </c>
      <c r="AD12" s="65" t="s">
        <v>496</v>
      </c>
      <c r="AE12" s="66">
        <v>1.1033101851851853E-3</v>
      </c>
      <c r="AF12" s="67" t="s">
        <v>497</v>
      </c>
      <c r="AG12" s="68">
        <v>1.1079398148148149E-3</v>
      </c>
      <c r="AH12" s="65" t="s">
        <v>349</v>
      </c>
      <c r="AI12" s="66">
        <v>1.1084606481481481E-3</v>
      </c>
      <c r="AJ12" s="67" t="s">
        <v>369</v>
      </c>
      <c r="AK12" s="68">
        <v>1.1110879629629628E-3</v>
      </c>
      <c r="AL12" s="65" t="s">
        <v>549</v>
      </c>
      <c r="AM12" s="66">
        <v>1.1125462962962964E-3</v>
      </c>
      <c r="AN12" s="67" t="s">
        <v>528</v>
      </c>
      <c r="AO12" s="68">
        <v>1.113148148148148E-3</v>
      </c>
      <c r="AP12" s="65" t="s">
        <v>73</v>
      </c>
      <c r="AQ12" s="66" t="s">
        <v>73</v>
      </c>
      <c r="AR12" s="67" t="s">
        <v>73</v>
      </c>
      <c r="AS12" s="68" t="s">
        <v>73</v>
      </c>
      <c r="AV12" s="156" t="s">
        <v>369</v>
      </c>
      <c r="AW12" s="355">
        <v>20</v>
      </c>
    </row>
    <row r="13" spans="1:49" ht="15" customHeight="1" thickBot="1" x14ac:dyDescent="0.25">
      <c r="A13" s="75" t="s">
        <v>129</v>
      </c>
      <c r="B13" s="71" t="s">
        <v>350</v>
      </c>
      <c r="C13" s="72">
        <v>4.3234606481481483E-3</v>
      </c>
      <c r="D13" s="71" t="s">
        <v>66</v>
      </c>
      <c r="E13" s="73">
        <v>1.0598379629629629E-3</v>
      </c>
      <c r="F13" s="71" t="s">
        <v>67</v>
      </c>
      <c r="G13" s="72">
        <v>1.0630555555555556E-3</v>
      </c>
      <c r="H13" s="71" t="s">
        <v>500</v>
      </c>
      <c r="I13" s="73">
        <v>1.0632523148148148E-3</v>
      </c>
      <c r="J13" s="71" t="s">
        <v>390</v>
      </c>
      <c r="K13" s="72">
        <v>1.0658449074074073E-3</v>
      </c>
      <c r="L13" s="71" t="s">
        <v>496</v>
      </c>
      <c r="M13" s="73">
        <v>1.0755787037037038E-3</v>
      </c>
      <c r="N13" s="71" t="s">
        <v>348</v>
      </c>
      <c r="O13" s="72">
        <v>1.0759027777777778E-3</v>
      </c>
      <c r="P13" s="71" t="s">
        <v>329</v>
      </c>
      <c r="Q13" s="73">
        <v>1.0759490740740742E-3</v>
      </c>
      <c r="R13" s="71" t="s">
        <v>369</v>
      </c>
      <c r="S13" s="72" t="s">
        <v>73</v>
      </c>
      <c r="T13" s="71" t="s">
        <v>349</v>
      </c>
      <c r="U13" s="73" t="s">
        <v>73</v>
      </c>
      <c r="V13" s="71" t="s">
        <v>365</v>
      </c>
      <c r="W13" s="72">
        <v>1.0791203703703703E-3</v>
      </c>
      <c r="X13" s="71" t="s">
        <v>347</v>
      </c>
      <c r="Y13" s="73">
        <v>1.0798495370370369E-3</v>
      </c>
      <c r="Z13" s="71" t="s">
        <v>63</v>
      </c>
      <c r="AA13" s="72">
        <v>1.0812384259259258E-3</v>
      </c>
      <c r="AB13" s="71" t="s">
        <v>418</v>
      </c>
      <c r="AC13" s="73">
        <v>1.0824421296296296E-3</v>
      </c>
      <c r="AD13" s="71" t="s">
        <v>529</v>
      </c>
      <c r="AE13" s="72">
        <v>1.0875810185185185E-3</v>
      </c>
      <c r="AF13" s="71" t="s">
        <v>481</v>
      </c>
      <c r="AG13" s="73">
        <v>1.0913425925925928E-3</v>
      </c>
      <c r="AH13" s="71" t="s">
        <v>549</v>
      </c>
      <c r="AI13" s="72">
        <v>1.1024652777777777E-3</v>
      </c>
      <c r="AJ13" s="71" t="s">
        <v>528</v>
      </c>
      <c r="AK13" s="73">
        <v>1.1027893518518518E-3</v>
      </c>
      <c r="AL13" s="71" t="s">
        <v>497</v>
      </c>
      <c r="AM13" s="72" t="s">
        <v>73</v>
      </c>
      <c r="AN13" s="71" t="s">
        <v>542</v>
      </c>
      <c r="AO13" s="73" t="s">
        <v>73</v>
      </c>
      <c r="AP13" s="71" t="s">
        <v>73</v>
      </c>
      <c r="AQ13" s="72" t="s">
        <v>73</v>
      </c>
      <c r="AR13" s="71" t="s">
        <v>73</v>
      </c>
      <c r="AS13" s="73" t="s">
        <v>73</v>
      </c>
      <c r="AT13" s="115">
        <v>1.1475000000000001E-3</v>
      </c>
      <c r="AV13" s="156" t="s">
        <v>418</v>
      </c>
      <c r="AW13" s="618">
        <v>55</v>
      </c>
    </row>
    <row r="14" spans="1:49" ht="15" customHeight="1" x14ac:dyDescent="0.2">
      <c r="A14" s="64" t="s">
        <v>130</v>
      </c>
      <c r="B14" s="65" t="s">
        <v>500</v>
      </c>
      <c r="C14" s="66">
        <v>1.2441782407407408E-3</v>
      </c>
      <c r="D14" s="67" t="s">
        <v>67</v>
      </c>
      <c r="E14" s="68">
        <v>1.2684953703703703E-3</v>
      </c>
      <c r="F14" s="65" t="s">
        <v>349</v>
      </c>
      <c r="G14" s="66" t="s">
        <v>73</v>
      </c>
      <c r="H14" s="67" t="s">
        <v>529</v>
      </c>
      <c r="I14" s="68" t="s">
        <v>73</v>
      </c>
      <c r="J14" s="65" t="s">
        <v>390</v>
      </c>
      <c r="K14" s="66" t="s">
        <v>73</v>
      </c>
      <c r="L14" s="67" t="s">
        <v>369</v>
      </c>
      <c r="M14" s="68" t="s">
        <v>73</v>
      </c>
      <c r="N14" s="65" t="s">
        <v>418</v>
      </c>
      <c r="O14" s="66" t="s">
        <v>73</v>
      </c>
      <c r="P14" s="67" t="s">
        <v>497</v>
      </c>
      <c r="Q14" s="68" t="s">
        <v>73</v>
      </c>
      <c r="R14" s="65" t="s">
        <v>365</v>
      </c>
      <c r="S14" s="66" t="s">
        <v>73</v>
      </c>
      <c r="T14" s="67" t="s">
        <v>528</v>
      </c>
      <c r="U14" s="68" t="s">
        <v>73</v>
      </c>
      <c r="V14" s="65" t="s">
        <v>549</v>
      </c>
      <c r="W14" s="66" t="s">
        <v>73</v>
      </c>
      <c r="X14" s="67" t="s">
        <v>542</v>
      </c>
      <c r="Y14" s="68" t="s">
        <v>73</v>
      </c>
      <c r="Z14" s="65" t="s">
        <v>348</v>
      </c>
      <c r="AA14" s="66" t="s">
        <v>73</v>
      </c>
      <c r="AB14" s="67" t="s">
        <v>329</v>
      </c>
      <c r="AC14" s="68" t="s">
        <v>73</v>
      </c>
      <c r="AD14" s="65" t="s">
        <v>496</v>
      </c>
      <c r="AE14" s="66" t="s">
        <v>73</v>
      </c>
      <c r="AF14" s="67" t="s">
        <v>63</v>
      </c>
      <c r="AG14" s="68" t="s">
        <v>73</v>
      </c>
      <c r="AH14" s="65" t="s">
        <v>347</v>
      </c>
      <c r="AI14" s="66" t="s">
        <v>73</v>
      </c>
      <c r="AJ14" s="67" t="s">
        <v>481</v>
      </c>
      <c r="AK14" s="68" t="s">
        <v>73</v>
      </c>
      <c r="AL14" s="65" t="s">
        <v>66</v>
      </c>
      <c r="AM14" s="66" t="s">
        <v>73</v>
      </c>
      <c r="AN14" s="67" t="s">
        <v>350</v>
      </c>
      <c r="AO14" s="68" t="s">
        <v>73</v>
      </c>
      <c r="AP14" s="65" t="s">
        <v>73</v>
      </c>
      <c r="AQ14" s="66" t="s">
        <v>73</v>
      </c>
      <c r="AR14" s="67" t="s">
        <v>73</v>
      </c>
      <c r="AS14" s="68" t="s">
        <v>73</v>
      </c>
      <c r="AV14" s="156" t="s">
        <v>529</v>
      </c>
      <c r="AW14" s="618">
        <v>4</v>
      </c>
    </row>
    <row r="15" spans="1:49" ht="15" customHeight="1" x14ac:dyDescent="0.2">
      <c r="A15" s="69" t="s">
        <v>131</v>
      </c>
      <c r="B15" s="65" t="s">
        <v>500</v>
      </c>
      <c r="C15" s="66">
        <v>1.1906481481481481E-3</v>
      </c>
      <c r="D15" s="67" t="s">
        <v>67</v>
      </c>
      <c r="E15" s="68">
        <v>1.1943981481481482E-3</v>
      </c>
      <c r="F15" s="65" t="s">
        <v>66</v>
      </c>
      <c r="G15" s="66">
        <v>1.1983912037037037E-3</v>
      </c>
      <c r="H15" s="67" t="s">
        <v>390</v>
      </c>
      <c r="I15" s="68">
        <v>1.2013078703703704E-3</v>
      </c>
      <c r="J15" s="65" t="s">
        <v>350</v>
      </c>
      <c r="K15" s="66">
        <v>1.203738425925926E-3</v>
      </c>
      <c r="L15" s="67" t="s">
        <v>365</v>
      </c>
      <c r="M15" s="68">
        <v>1.2057523148148147E-3</v>
      </c>
      <c r="N15" s="65" t="s">
        <v>418</v>
      </c>
      <c r="O15" s="66">
        <v>1.2058217592592593E-3</v>
      </c>
      <c r="P15" s="67" t="s">
        <v>542</v>
      </c>
      <c r="Q15" s="68">
        <v>1.2062037037037039E-3</v>
      </c>
      <c r="R15" s="65" t="s">
        <v>496</v>
      </c>
      <c r="S15" s="66">
        <v>1.2064814814814816E-3</v>
      </c>
      <c r="T15" s="67" t="s">
        <v>529</v>
      </c>
      <c r="U15" s="68">
        <v>1.2071180555555557E-3</v>
      </c>
      <c r="V15" s="65" t="s">
        <v>369</v>
      </c>
      <c r="W15" s="66">
        <v>1.2141319444444445E-3</v>
      </c>
      <c r="X15" s="67" t="s">
        <v>497</v>
      </c>
      <c r="Y15" s="68">
        <v>1.2195138888888889E-3</v>
      </c>
      <c r="Z15" s="65" t="s">
        <v>347</v>
      </c>
      <c r="AA15" s="66">
        <v>1.2203240740740742E-3</v>
      </c>
      <c r="AB15" s="67" t="s">
        <v>63</v>
      </c>
      <c r="AC15" s="68">
        <v>1.2208564814814814E-3</v>
      </c>
      <c r="AD15" s="65" t="s">
        <v>348</v>
      </c>
      <c r="AE15" s="66">
        <v>1.2208680555555556E-3</v>
      </c>
      <c r="AF15" s="67" t="s">
        <v>349</v>
      </c>
      <c r="AG15" s="68">
        <v>1.2224305555555556E-3</v>
      </c>
      <c r="AH15" s="65" t="s">
        <v>329</v>
      </c>
      <c r="AI15" s="66">
        <v>1.2351504629629631E-3</v>
      </c>
      <c r="AJ15" s="67" t="s">
        <v>481</v>
      </c>
      <c r="AK15" s="68">
        <v>1.2485532407407408E-3</v>
      </c>
      <c r="AL15" s="65" t="s">
        <v>528</v>
      </c>
      <c r="AM15" s="66">
        <v>1.2512847222222222E-3</v>
      </c>
      <c r="AN15" s="67" t="s">
        <v>549</v>
      </c>
      <c r="AO15" s="68" t="s">
        <v>73</v>
      </c>
      <c r="AP15" s="65" t="s">
        <v>73</v>
      </c>
      <c r="AQ15" s="66" t="s">
        <v>73</v>
      </c>
      <c r="AR15" s="67" t="s">
        <v>73</v>
      </c>
      <c r="AS15" s="68" t="s">
        <v>73</v>
      </c>
      <c r="AV15" s="156" t="s">
        <v>347</v>
      </c>
      <c r="AW15" s="191">
        <v>11</v>
      </c>
    </row>
    <row r="16" spans="1:49" ht="15" customHeight="1" thickBot="1" x14ac:dyDescent="0.25">
      <c r="A16" s="69" t="s">
        <v>132</v>
      </c>
      <c r="B16" s="65" t="s">
        <v>500</v>
      </c>
      <c r="C16" s="66">
        <v>1.1759722222222221E-3</v>
      </c>
      <c r="D16" s="67" t="s">
        <v>67</v>
      </c>
      <c r="E16" s="68">
        <v>1.1782638888888889E-3</v>
      </c>
      <c r="F16" s="65" t="s">
        <v>390</v>
      </c>
      <c r="G16" s="66">
        <v>1.1904166666666667E-3</v>
      </c>
      <c r="H16" s="67" t="s">
        <v>350</v>
      </c>
      <c r="I16" s="68">
        <v>1.1928703703703704E-3</v>
      </c>
      <c r="J16" s="65" t="s">
        <v>66</v>
      </c>
      <c r="K16" s="66">
        <v>1.1941666666666667E-3</v>
      </c>
      <c r="L16" s="67" t="s">
        <v>365</v>
      </c>
      <c r="M16" s="68">
        <v>1.1947106481481481E-3</v>
      </c>
      <c r="N16" s="65" t="s">
        <v>369</v>
      </c>
      <c r="O16" s="66">
        <v>1.1955324074074073E-3</v>
      </c>
      <c r="P16" s="67" t="s">
        <v>542</v>
      </c>
      <c r="Q16" s="68">
        <v>1.195601851851852E-3</v>
      </c>
      <c r="R16" s="65" t="s">
        <v>347</v>
      </c>
      <c r="S16" s="66">
        <v>1.1971064814814815E-3</v>
      </c>
      <c r="T16" s="67" t="s">
        <v>63</v>
      </c>
      <c r="U16" s="68">
        <v>1.1983449074074075E-3</v>
      </c>
      <c r="V16" s="65" t="s">
        <v>348</v>
      </c>
      <c r="W16" s="66">
        <v>1.1986226851851852E-3</v>
      </c>
      <c r="X16" s="67" t="s">
        <v>497</v>
      </c>
      <c r="Y16" s="68">
        <v>1.1995023148148149E-3</v>
      </c>
      <c r="Z16" s="65" t="s">
        <v>529</v>
      </c>
      <c r="AA16" s="66">
        <v>1.202824074074074E-3</v>
      </c>
      <c r="AB16" s="67" t="s">
        <v>418</v>
      </c>
      <c r="AC16" s="68">
        <v>1.203449074074074E-3</v>
      </c>
      <c r="AD16" s="65" t="s">
        <v>481</v>
      </c>
      <c r="AE16" s="66">
        <v>1.2041550925925924E-3</v>
      </c>
      <c r="AF16" s="67" t="s">
        <v>329</v>
      </c>
      <c r="AG16" s="68">
        <v>1.2042013888888888E-3</v>
      </c>
      <c r="AH16" s="65" t="s">
        <v>349</v>
      </c>
      <c r="AI16" s="66">
        <v>1.2080324074074074E-3</v>
      </c>
      <c r="AJ16" s="67" t="s">
        <v>528</v>
      </c>
      <c r="AK16" s="68">
        <v>1.2268518518518518E-3</v>
      </c>
      <c r="AL16" s="65" t="s">
        <v>549</v>
      </c>
      <c r="AM16" s="66">
        <v>1.2302083333333334E-3</v>
      </c>
      <c r="AN16" s="67" t="s">
        <v>496</v>
      </c>
      <c r="AO16" s="68">
        <v>1.248101851851852E-3</v>
      </c>
      <c r="AP16" s="65" t="s">
        <v>73</v>
      </c>
      <c r="AQ16" s="66" t="s">
        <v>73</v>
      </c>
      <c r="AR16" s="67" t="s">
        <v>73</v>
      </c>
      <c r="AS16" s="68" t="s">
        <v>73</v>
      </c>
      <c r="AV16" s="156" t="s">
        <v>481</v>
      </c>
      <c r="AW16" s="191">
        <v>18</v>
      </c>
    </row>
    <row r="17" spans="1:49" ht="15" customHeight="1" thickBot="1" x14ac:dyDescent="0.25">
      <c r="A17" s="75" t="s">
        <v>133</v>
      </c>
      <c r="B17" s="71" t="s">
        <v>350</v>
      </c>
      <c r="C17" s="72">
        <v>1.163136574074074E-3</v>
      </c>
      <c r="D17" s="71" t="s">
        <v>66</v>
      </c>
      <c r="E17" s="73">
        <v>1.1638194444444445E-3</v>
      </c>
      <c r="F17" s="71" t="s">
        <v>67</v>
      </c>
      <c r="G17" s="72">
        <v>1.1666319444444443E-3</v>
      </c>
      <c r="H17" s="71" t="s">
        <v>390</v>
      </c>
      <c r="I17" s="73">
        <v>1.1697800925925927E-3</v>
      </c>
      <c r="J17" s="71" t="s">
        <v>347</v>
      </c>
      <c r="K17" s="72">
        <v>1.1758449074074076E-3</v>
      </c>
      <c r="L17" s="71" t="s">
        <v>365</v>
      </c>
      <c r="M17" s="73">
        <v>1.176863425925926E-3</v>
      </c>
      <c r="N17" s="71" t="s">
        <v>529</v>
      </c>
      <c r="O17" s="72">
        <v>1.1792361111111112E-3</v>
      </c>
      <c r="P17" s="71" t="s">
        <v>497</v>
      </c>
      <c r="Q17" s="73">
        <v>1.1854629629629628E-3</v>
      </c>
      <c r="R17" s="71" t="s">
        <v>500</v>
      </c>
      <c r="S17" s="73" t="s">
        <v>73</v>
      </c>
      <c r="T17" s="71" t="s">
        <v>418</v>
      </c>
      <c r="U17" s="72">
        <v>1.1851620370370371E-3</v>
      </c>
      <c r="V17" s="71" t="s">
        <v>348</v>
      </c>
      <c r="W17" s="73">
        <v>1.1860763888888889E-3</v>
      </c>
      <c r="X17" s="71" t="s">
        <v>542</v>
      </c>
      <c r="Y17" s="72">
        <v>1.1862731481481481E-3</v>
      </c>
      <c r="Z17" s="71" t="s">
        <v>369</v>
      </c>
      <c r="AA17" s="73">
        <v>1.1886458333333334E-3</v>
      </c>
      <c r="AB17" s="71" t="s">
        <v>481</v>
      </c>
      <c r="AC17" s="73">
        <v>1.1878472222222223E-3</v>
      </c>
      <c r="AD17" s="71" t="s">
        <v>349</v>
      </c>
      <c r="AE17" s="72">
        <v>1.1968402777777778E-3</v>
      </c>
      <c r="AF17" s="71" t="s">
        <v>329</v>
      </c>
      <c r="AG17" s="73">
        <v>1.1970717592592593E-3</v>
      </c>
      <c r="AH17" s="71" t="s">
        <v>549</v>
      </c>
      <c r="AI17" s="72">
        <v>1.2159953703703705E-3</v>
      </c>
      <c r="AJ17" s="71" t="s">
        <v>528</v>
      </c>
      <c r="AK17" s="73">
        <v>1.2205439814814815E-3</v>
      </c>
      <c r="AL17" s="71" t="s">
        <v>63</v>
      </c>
      <c r="AM17" s="72" t="s">
        <v>285</v>
      </c>
      <c r="AN17" s="71" t="s">
        <v>496</v>
      </c>
      <c r="AO17" s="73" t="s">
        <v>285</v>
      </c>
      <c r="AP17" s="71" t="s">
        <v>73</v>
      </c>
      <c r="AQ17" s="72" t="s">
        <v>73</v>
      </c>
      <c r="AR17" s="71" t="s">
        <v>73</v>
      </c>
      <c r="AS17" s="73" t="s">
        <v>73</v>
      </c>
      <c r="AT17" s="115">
        <v>1.2549537037037037E-3</v>
      </c>
      <c r="AV17" s="156" t="s">
        <v>63</v>
      </c>
      <c r="AW17" s="619">
        <v>7</v>
      </c>
    </row>
    <row r="18" spans="1:49" ht="15" customHeight="1" x14ac:dyDescent="0.2">
      <c r="A18" s="69" t="s">
        <v>134</v>
      </c>
      <c r="B18" s="65" t="s">
        <v>350</v>
      </c>
      <c r="C18" s="66">
        <v>9.0221064814814819E-4</v>
      </c>
      <c r="D18" s="67" t="s">
        <v>67</v>
      </c>
      <c r="E18" s="68">
        <v>9.0354166666666664E-4</v>
      </c>
      <c r="F18" s="65" t="s">
        <v>500</v>
      </c>
      <c r="G18" s="66">
        <v>9.047685185185184E-4</v>
      </c>
      <c r="H18" s="67" t="s">
        <v>66</v>
      </c>
      <c r="I18" s="68">
        <v>9.0943287037037034E-4</v>
      </c>
      <c r="J18" s="65" t="s">
        <v>349</v>
      </c>
      <c r="K18" s="66">
        <v>9.1369212962962964E-4</v>
      </c>
      <c r="L18" s="67" t="s">
        <v>418</v>
      </c>
      <c r="M18" s="68">
        <v>9.1614583333333337E-4</v>
      </c>
      <c r="N18" s="65" t="s">
        <v>369</v>
      </c>
      <c r="O18" s="66">
        <v>9.1643518518518506E-4</v>
      </c>
      <c r="P18" s="67" t="s">
        <v>496</v>
      </c>
      <c r="Q18" s="68">
        <v>9.1765046296296299E-4</v>
      </c>
      <c r="R18" s="65" t="s">
        <v>365</v>
      </c>
      <c r="S18" s="66">
        <v>9.1856481481481476E-4</v>
      </c>
      <c r="T18" s="67" t="s">
        <v>329</v>
      </c>
      <c r="U18" s="68">
        <v>9.1956018518518515E-4</v>
      </c>
      <c r="V18" s="65" t="s">
        <v>348</v>
      </c>
      <c r="W18" s="66">
        <v>9.2026620370370363E-4</v>
      </c>
      <c r="X18" s="67" t="s">
        <v>390</v>
      </c>
      <c r="Y18" s="68">
        <v>9.2412037037037039E-4</v>
      </c>
      <c r="Z18" s="65" t="s">
        <v>481</v>
      </c>
      <c r="AA18" s="66">
        <v>9.2424768518518518E-4</v>
      </c>
      <c r="AB18" s="67" t="s">
        <v>497</v>
      </c>
      <c r="AC18" s="68">
        <v>9.2616898148148148E-4</v>
      </c>
      <c r="AD18" s="65" t="s">
        <v>542</v>
      </c>
      <c r="AE18" s="66">
        <v>9.2627314814814818E-4</v>
      </c>
      <c r="AF18" s="67" t="s">
        <v>529</v>
      </c>
      <c r="AG18" s="68">
        <v>9.2668981481481476E-4</v>
      </c>
      <c r="AH18" s="65" t="s">
        <v>347</v>
      </c>
      <c r="AI18" s="66">
        <v>9.3123842592592596E-4</v>
      </c>
      <c r="AJ18" s="67" t="s">
        <v>63</v>
      </c>
      <c r="AK18" s="68">
        <v>9.3276620370370377E-4</v>
      </c>
      <c r="AL18" s="65" t="s">
        <v>528</v>
      </c>
      <c r="AM18" s="66">
        <v>9.3621527777777767E-4</v>
      </c>
      <c r="AN18" s="67" t="s">
        <v>549</v>
      </c>
      <c r="AO18" s="68">
        <v>9.3738425925925923E-4</v>
      </c>
      <c r="AP18" s="65" t="s">
        <v>73</v>
      </c>
      <c r="AQ18" s="66" t="s">
        <v>73</v>
      </c>
      <c r="AR18" s="67" t="s">
        <v>73</v>
      </c>
      <c r="AS18" s="68" t="s">
        <v>73</v>
      </c>
      <c r="AV18" s="156" t="s">
        <v>497</v>
      </c>
      <c r="AW18" s="619">
        <v>99</v>
      </c>
    </row>
    <row r="19" spans="1:49" ht="15" customHeight="1" x14ac:dyDescent="0.2">
      <c r="A19" s="69" t="s">
        <v>135</v>
      </c>
      <c r="B19" s="65" t="s">
        <v>350</v>
      </c>
      <c r="C19" s="66">
        <v>8.9449074074074073E-4</v>
      </c>
      <c r="D19" s="67" t="s">
        <v>66</v>
      </c>
      <c r="E19" s="68">
        <v>8.9505787037037039E-4</v>
      </c>
      <c r="F19" s="65" t="s">
        <v>500</v>
      </c>
      <c r="G19" s="66">
        <v>8.9797453703703708E-4</v>
      </c>
      <c r="H19" s="67" t="s">
        <v>67</v>
      </c>
      <c r="I19" s="68">
        <v>8.9899305555555566E-4</v>
      </c>
      <c r="J19" s="65" t="s">
        <v>390</v>
      </c>
      <c r="K19" s="66">
        <v>9.0318287037037049E-4</v>
      </c>
      <c r="L19" s="67" t="s">
        <v>349</v>
      </c>
      <c r="M19" s="68">
        <v>9.0454861111111118E-4</v>
      </c>
      <c r="N19" s="65" t="s">
        <v>496</v>
      </c>
      <c r="O19" s="66">
        <v>9.0553240740740741E-4</v>
      </c>
      <c r="P19" s="67" t="s">
        <v>369</v>
      </c>
      <c r="Q19" s="68">
        <v>9.0688657407407395E-4</v>
      </c>
      <c r="R19" s="65" t="s">
        <v>418</v>
      </c>
      <c r="S19" s="66">
        <v>9.1039351851851839E-4</v>
      </c>
      <c r="T19" s="67" t="s">
        <v>365</v>
      </c>
      <c r="U19" s="68">
        <v>9.1113425925925921E-4</v>
      </c>
      <c r="V19" s="65" t="s">
        <v>63</v>
      </c>
      <c r="W19" s="66">
        <v>9.1119212962962953E-4</v>
      </c>
      <c r="X19" s="67" t="s">
        <v>542</v>
      </c>
      <c r="Y19" s="68">
        <v>9.1179398148148142E-4</v>
      </c>
      <c r="Z19" s="65" t="s">
        <v>481</v>
      </c>
      <c r="AA19" s="66">
        <v>9.1248842592592586E-4</v>
      </c>
      <c r="AB19" s="67" t="s">
        <v>329</v>
      </c>
      <c r="AC19" s="68">
        <v>9.1274305555555564E-4</v>
      </c>
      <c r="AD19" s="65" t="s">
        <v>348</v>
      </c>
      <c r="AE19" s="66">
        <v>9.1358796296296294E-4</v>
      </c>
      <c r="AF19" s="67" t="s">
        <v>529</v>
      </c>
      <c r="AG19" s="68">
        <v>9.1482638888888896E-4</v>
      </c>
      <c r="AH19" s="65" t="s">
        <v>497</v>
      </c>
      <c r="AI19" s="66">
        <v>9.1929398148148144E-4</v>
      </c>
      <c r="AJ19" s="67" t="s">
        <v>347</v>
      </c>
      <c r="AK19" s="68">
        <v>9.1953703703703718E-4</v>
      </c>
      <c r="AL19" s="65" t="s">
        <v>549</v>
      </c>
      <c r="AM19" s="66">
        <v>9.2813657407407396E-4</v>
      </c>
      <c r="AN19" s="67" t="s">
        <v>528</v>
      </c>
      <c r="AO19" s="68">
        <v>9.3496527777777773E-4</v>
      </c>
      <c r="AP19" s="65" t="s">
        <v>73</v>
      </c>
      <c r="AQ19" s="66" t="s">
        <v>73</v>
      </c>
      <c r="AR19" s="67" t="s">
        <v>73</v>
      </c>
      <c r="AS19" s="68" t="s">
        <v>73</v>
      </c>
      <c r="AV19" s="156" t="s">
        <v>365</v>
      </c>
      <c r="AW19" s="620">
        <v>14</v>
      </c>
    </row>
    <row r="20" spans="1:49" ht="15" customHeight="1" thickBot="1" x14ac:dyDescent="0.25">
      <c r="A20" s="69" t="s">
        <v>136</v>
      </c>
      <c r="B20" s="65" t="s">
        <v>66</v>
      </c>
      <c r="C20" s="66">
        <v>8.8620370370370372E-4</v>
      </c>
      <c r="D20" s="67" t="s">
        <v>500</v>
      </c>
      <c r="E20" s="68">
        <v>8.9234953703703709E-4</v>
      </c>
      <c r="F20" s="65" t="s">
        <v>350</v>
      </c>
      <c r="G20" s="66">
        <v>8.9262731481481485E-4</v>
      </c>
      <c r="H20" s="67" t="s">
        <v>67</v>
      </c>
      <c r="I20" s="68">
        <v>8.931944444444444E-4</v>
      </c>
      <c r="J20" s="65" t="s">
        <v>349</v>
      </c>
      <c r="K20" s="66">
        <v>8.9342592592592588E-4</v>
      </c>
      <c r="L20" s="67" t="s">
        <v>369</v>
      </c>
      <c r="M20" s="68">
        <v>8.9733796296296295E-4</v>
      </c>
      <c r="N20" s="65" t="s">
        <v>390</v>
      </c>
      <c r="O20" s="66">
        <v>8.9766203703703698E-4</v>
      </c>
      <c r="P20" s="67" t="s">
        <v>542</v>
      </c>
      <c r="Q20" s="68">
        <v>9.0120370370370365E-4</v>
      </c>
      <c r="R20" s="65" t="s">
        <v>63</v>
      </c>
      <c r="S20" s="66">
        <v>9.0241898148148147E-4</v>
      </c>
      <c r="T20" s="67" t="s">
        <v>418</v>
      </c>
      <c r="U20" s="68">
        <v>9.0281249999999997E-4</v>
      </c>
      <c r="V20" s="65" t="s">
        <v>365</v>
      </c>
      <c r="W20" s="66">
        <v>9.0399305555555556E-4</v>
      </c>
      <c r="X20" s="67" t="s">
        <v>329</v>
      </c>
      <c r="Y20" s="68">
        <v>9.0682870370370385E-4</v>
      </c>
      <c r="Z20" s="65" t="s">
        <v>347</v>
      </c>
      <c r="AA20" s="66">
        <v>9.103703703703703E-4</v>
      </c>
      <c r="AB20" s="67" t="s">
        <v>496</v>
      </c>
      <c r="AC20" s="68">
        <v>9.1079861111111103E-4</v>
      </c>
      <c r="AD20" s="65" t="s">
        <v>481</v>
      </c>
      <c r="AE20" s="66">
        <v>9.1127314814814814E-4</v>
      </c>
      <c r="AF20" s="67" t="s">
        <v>497</v>
      </c>
      <c r="AG20" s="68">
        <v>9.1134259259259261E-4</v>
      </c>
      <c r="AH20" s="65" t="s">
        <v>348</v>
      </c>
      <c r="AI20" s="66">
        <v>9.140509259259259E-4</v>
      </c>
      <c r="AJ20" s="67" t="s">
        <v>529</v>
      </c>
      <c r="AK20" s="68">
        <v>9.1443287037037046E-4</v>
      </c>
      <c r="AL20" s="65" t="s">
        <v>549</v>
      </c>
      <c r="AM20" s="66">
        <v>9.1922453703703697E-4</v>
      </c>
      <c r="AN20" s="67" t="s">
        <v>528</v>
      </c>
      <c r="AO20" s="68">
        <v>9.3252314814814814E-4</v>
      </c>
      <c r="AP20" s="65" t="s">
        <v>73</v>
      </c>
      <c r="AQ20" s="66" t="s">
        <v>73</v>
      </c>
      <c r="AR20" s="67" t="s">
        <v>73</v>
      </c>
      <c r="AS20" s="68" t="s">
        <v>73</v>
      </c>
      <c r="AV20" s="156" t="s">
        <v>542</v>
      </c>
      <c r="AW20" s="620">
        <v>47</v>
      </c>
    </row>
    <row r="21" spans="1:49" ht="15" customHeight="1" thickBot="1" x14ac:dyDescent="0.25">
      <c r="A21" s="75" t="s">
        <v>137</v>
      </c>
      <c r="B21" s="71" t="s">
        <v>350</v>
      </c>
      <c r="C21" s="72">
        <v>8.7275462962962957E-4</v>
      </c>
      <c r="D21" s="71" t="s">
        <v>66</v>
      </c>
      <c r="E21" s="73">
        <v>8.8009259259259247E-4</v>
      </c>
      <c r="F21" s="71" t="s">
        <v>67</v>
      </c>
      <c r="G21" s="72">
        <v>8.8277777777777779E-4</v>
      </c>
      <c r="H21" s="71" t="s">
        <v>390</v>
      </c>
      <c r="I21" s="73">
        <v>8.8376157407407414E-4</v>
      </c>
      <c r="J21" s="71" t="s">
        <v>500</v>
      </c>
      <c r="K21" s="72">
        <v>8.8643518518518509E-4</v>
      </c>
      <c r="L21" s="71" t="s">
        <v>496</v>
      </c>
      <c r="M21" s="73">
        <v>8.8782407407407397E-4</v>
      </c>
      <c r="N21" s="71" t="s">
        <v>349</v>
      </c>
      <c r="O21" s="72">
        <v>8.9017361111111111E-4</v>
      </c>
      <c r="P21" s="71" t="s">
        <v>369</v>
      </c>
      <c r="Q21" s="73">
        <v>8.9030092592592589E-4</v>
      </c>
      <c r="R21" s="71" t="s">
        <v>365</v>
      </c>
      <c r="S21" s="72">
        <v>8.9783564814814815E-4</v>
      </c>
      <c r="T21" s="71" t="s">
        <v>348</v>
      </c>
      <c r="U21" s="73">
        <v>9.0400462962962971E-4</v>
      </c>
      <c r="V21" s="71" t="s">
        <v>529</v>
      </c>
      <c r="W21" s="72">
        <v>8.951157407407407E-4</v>
      </c>
      <c r="X21" s="71" t="s">
        <v>542</v>
      </c>
      <c r="Y21" s="73">
        <v>8.9635416666666672E-4</v>
      </c>
      <c r="Z21" s="71" t="s">
        <v>418</v>
      </c>
      <c r="AA21" s="72">
        <v>8.9813657407407409E-4</v>
      </c>
      <c r="AB21" s="71" t="s">
        <v>63</v>
      </c>
      <c r="AC21" s="73">
        <v>9.0032407407407411E-4</v>
      </c>
      <c r="AD21" s="71" t="s">
        <v>347</v>
      </c>
      <c r="AE21" s="72">
        <v>9.0145833333333343E-4</v>
      </c>
      <c r="AF21" s="71" t="s">
        <v>329</v>
      </c>
      <c r="AG21" s="73">
        <v>9.0745370370370372E-4</v>
      </c>
      <c r="AH21" s="71" t="s">
        <v>481</v>
      </c>
      <c r="AI21" s="72">
        <v>9.0822916666666667E-4</v>
      </c>
      <c r="AJ21" s="71" t="s">
        <v>497</v>
      </c>
      <c r="AK21" s="73">
        <v>9.1046296296296285E-4</v>
      </c>
      <c r="AL21" s="71" t="s">
        <v>549</v>
      </c>
      <c r="AM21" s="72">
        <v>9.1518518518518522E-4</v>
      </c>
      <c r="AN21" s="71" t="s">
        <v>528</v>
      </c>
      <c r="AO21" s="73">
        <v>9.2886574074074063E-4</v>
      </c>
      <c r="AP21" s="71" t="s">
        <v>73</v>
      </c>
      <c r="AQ21" s="72" t="s">
        <v>73</v>
      </c>
      <c r="AR21" s="71" t="s">
        <v>73</v>
      </c>
      <c r="AS21" s="73" t="s">
        <v>73</v>
      </c>
      <c r="AT21" s="115">
        <v>9.3017361111111111E-4</v>
      </c>
      <c r="AV21" s="156" t="s">
        <v>706</v>
      </c>
      <c r="AW21" s="620">
        <v>10</v>
      </c>
    </row>
    <row r="22" spans="1:49" ht="15" customHeight="1" x14ac:dyDescent="0.2">
      <c r="A22" s="64" t="s">
        <v>138</v>
      </c>
      <c r="B22" s="65" t="s">
        <v>66</v>
      </c>
      <c r="C22" s="66">
        <v>8.3456018518518514E-4</v>
      </c>
      <c r="D22" s="67" t="s">
        <v>390</v>
      </c>
      <c r="E22" s="68">
        <v>8.3524305555555554E-4</v>
      </c>
      <c r="F22" s="65" t="s">
        <v>350</v>
      </c>
      <c r="G22" s="66">
        <v>8.3539351851851862E-4</v>
      </c>
      <c r="H22" s="67" t="s">
        <v>500</v>
      </c>
      <c r="I22" s="68">
        <v>8.3873842592592594E-4</v>
      </c>
      <c r="J22" s="65" t="s">
        <v>67</v>
      </c>
      <c r="K22" s="66">
        <v>8.428587962962963E-4</v>
      </c>
      <c r="L22" s="67" t="s">
        <v>496</v>
      </c>
      <c r="M22" s="68">
        <v>8.4687499999999997E-4</v>
      </c>
      <c r="N22" s="65" t="s">
        <v>329</v>
      </c>
      <c r="O22" s="66">
        <v>8.4753472222222218E-4</v>
      </c>
      <c r="P22" s="67" t="s">
        <v>369</v>
      </c>
      <c r="Q22" s="68">
        <v>8.4759259259259249E-4</v>
      </c>
      <c r="R22" s="65" t="s">
        <v>63</v>
      </c>
      <c r="S22" s="66">
        <v>8.4910879629629627E-4</v>
      </c>
      <c r="T22" s="67" t="s">
        <v>349</v>
      </c>
      <c r="U22" s="68">
        <v>8.4929398148148136E-4</v>
      </c>
      <c r="V22" s="65" t="s">
        <v>348</v>
      </c>
      <c r="W22" s="66">
        <v>8.4968749999999986E-4</v>
      </c>
      <c r="X22" s="67" t="s">
        <v>497</v>
      </c>
      <c r="Y22" s="68">
        <v>8.4996527777777772E-4</v>
      </c>
      <c r="Z22" s="65" t="s">
        <v>365</v>
      </c>
      <c r="AA22" s="66">
        <v>8.5336805555555556E-4</v>
      </c>
      <c r="AB22" s="67" t="s">
        <v>542</v>
      </c>
      <c r="AC22" s="68">
        <v>8.5447916666666669E-4</v>
      </c>
      <c r="AD22" s="65" t="s">
        <v>529</v>
      </c>
      <c r="AE22" s="66">
        <v>8.5969907407407403E-4</v>
      </c>
      <c r="AF22" s="67" t="s">
        <v>347</v>
      </c>
      <c r="AG22" s="68">
        <v>8.6303240740740752E-4</v>
      </c>
      <c r="AH22" s="65" t="s">
        <v>549</v>
      </c>
      <c r="AI22" s="66">
        <v>8.6938657407407418E-4</v>
      </c>
      <c r="AJ22" s="67" t="s">
        <v>528</v>
      </c>
      <c r="AK22" s="68">
        <v>8.7400462962962952E-4</v>
      </c>
      <c r="AL22" s="65" t="s">
        <v>481</v>
      </c>
      <c r="AM22" s="66">
        <v>8.8119212962962966E-4</v>
      </c>
      <c r="AN22" s="67" t="s">
        <v>418</v>
      </c>
      <c r="AO22" s="68">
        <v>1.3966435185185184E-3</v>
      </c>
      <c r="AP22" s="65" t="s">
        <v>73</v>
      </c>
      <c r="AQ22" s="66" t="s">
        <v>73</v>
      </c>
      <c r="AR22" s="67" t="s">
        <v>73</v>
      </c>
      <c r="AS22" s="68" t="s">
        <v>73</v>
      </c>
      <c r="AV22" s="156" t="s">
        <v>549</v>
      </c>
      <c r="AW22" s="151">
        <v>63</v>
      </c>
    </row>
    <row r="23" spans="1:49" ht="15" customHeight="1" x14ac:dyDescent="0.2">
      <c r="A23" s="69" t="s">
        <v>139</v>
      </c>
      <c r="B23" s="65" t="s">
        <v>66</v>
      </c>
      <c r="C23" s="66">
        <v>8.2312500000000007E-4</v>
      </c>
      <c r="D23" s="67" t="s">
        <v>350</v>
      </c>
      <c r="E23" s="68">
        <v>8.2406250000000003E-4</v>
      </c>
      <c r="F23" s="65" t="s">
        <v>67</v>
      </c>
      <c r="G23" s="66">
        <v>8.3195601851851866E-4</v>
      </c>
      <c r="H23" s="67" t="s">
        <v>496</v>
      </c>
      <c r="I23" s="68">
        <v>8.3261574074074086E-4</v>
      </c>
      <c r="J23" s="65" t="s">
        <v>542</v>
      </c>
      <c r="K23" s="66">
        <v>8.3369212962962965E-4</v>
      </c>
      <c r="L23" s="67" t="s">
        <v>390</v>
      </c>
      <c r="M23" s="68">
        <v>8.3393518518518528E-4</v>
      </c>
      <c r="N23" s="65" t="s">
        <v>369</v>
      </c>
      <c r="O23" s="66">
        <v>8.3534722222222224E-4</v>
      </c>
      <c r="P23" s="67" t="s">
        <v>497</v>
      </c>
      <c r="Q23" s="68">
        <v>8.3609953703703711E-4</v>
      </c>
      <c r="R23" s="65" t="s">
        <v>63</v>
      </c>
      <c r="S23" s="66">
        <v>8.3729166666666663E-4</v>
      </c>
      <c r="T23" s="67" t="s">
        <v>500</v>
      </c>
      <c r="U23" s="68">
        <v>8.3738425925925918E-4</v>
      </c>
      <c r="V23" s="65" t="s">
        <v>349</v>
      </c>
      <c r="W23" s="66">
        <v>8.3787037037037033E-4</v>
      </c>
      <c r="X23" s="67" t="s">
        <v>529</v>
      </c>
      <c r="Y23" s="68">
        <v>8.3788194444444448E-4</v>
      </c>
      <c r="Z23" s="65" t="s">
        <v>418</v>
      </c>
      <c r="AA23" s="66">
        <v>8.3818287037037032E-4</v>
      </c>
      <c r="AB23" s="67" t="s">
        <v>365</v>
      </c>
      <c r="AC23" s="68">
        <v>8.4001157407407418E-4</v>
      </c>
      <c r="AD23" s="65" t="s">
        <v>347</v>
      </c>
      <c r="AE23" s="66">
        <v>8.4203703703703708E-4</v>
      </c>
      <c r="AF23" s="67" t="s">
        <v>329</v>
      </c>
      <c r="AG23" s="68">
        <v>8.4342592592592585E-4</v>
      </c>
      <c r="AH23" s="65" t="s">
        <v>348</v>
      </c>
      <c r="AI23" s="66">
        <v>8.4361111111111106E-4</v>
      </c>
      <c r="AJ23" s="67" t="s">
        <v>481</v>
      </c>
      <c r="AK23" s="68">
        <v>8.6293981481481475E-4</v>
      </c>
      <c r="AL23" s="65" t="s">
        <v>549</v>
      </c>
      <c r="AM23" s="66">
        <v>8.686574074074074E-4</v>
      </c>
      <c r="AN23" s="67" t="s">
        <v>528</v>
      </c>
      <c r="AO23" s="68">
        <v>8.6974537037037044E-4</v>
      </c>
      <c r="AP23" s="65" t="s">
        <v>73</v>
      </c>
      <c r="AQ23" s="66" t="s">
        <v>73</v>
      </c>
      <c r="AR23" s="67" t="s">
        <v>73</v>
      </c>
      <c r="AS23" s="68" t="s">
        <v>73</v>
      </c>
      <c r="AV23" s="156" t="s">
        <v>528</v>
      </c>
      <c r="AW23" s="151">
        <v>88</v>
      </c>
    </row>
    <row r="24" spans="1:49" ht="15" customHeight="1" thickBot="1" x14ac:dyDescent="0.25">
      <c r="A24" s="69" t="s">
        <v>140</v>
      </c>
      <c r="B24" s="65" t="s">
        <v>500</v>
      </c>
      <c r="C24" s="66">
        <v>8.2482638888888894E-4</v>
      </c>
      <c r="D24" s="67" t="s">
        <v>350</v>
      </c>
      <c r="E24" s="68">
        <v>8.2543981481481476E-4</v>
      </c>
      <c r="F24" s="65" t="s">
        <v>66</v>
      </c>
      <c r="G24" s="66">
        <v>8.2729166666666671E-4</v>
      </c>
      <c r="H24" s="67" t="s">
        <v>390</v>
      </c>
      <c r="I24" s="68">
        <v>8.279976851851852E-4</v>
      </c>
      <c r="J24" s="65" t="s">
        <v>496</v>
      </c>
      <c r="K24" s="66">
        <v>8.3030092592592585E-4</v>
      </c>
      <c r="L24" s="67" t="s">
        <v>497</v>
      </c>
      <c r="M24" s="68">
        <v>8.3530092592592597E-4</v>
      </c>
      <c r="N24" s="65" t="s">
        <v>365</v>
      </c>
      <c r="O24" s="66">
        <v>8.3557870370370372E-4</v>
      </c>
      <c r="P24" s="67" t="s">
        <v>369</v>
      </c>
      <c r="Q24" s="68">
        <v>8.3645833333333326E-4</v>
      </c>
      <c r="R24" s="65" t="s">
        <v>63</v>
      </c>
      <c r="S24" s="66">
        <v>8.3689814814814825E-4</v>
      </c>
      <c r="T24" s="67" t="s">
        <v>542</v>
      </c>
      <c r="U24" s="68">
        <v>8.3724537037037047E-4</v>
      </c>
      <c r="V24" s="65" t="s">
        <v>329</v>
      </c>
      <c r="W24" s="66">
        <v>8.3899305555555561E-4</v>
      </c>
      <c r="X24" s="67" t="s">
        <v>348</v>
      </c>
      <c r="Y24" s="68">
        <v>8.3934027777777783E-4</v>
      </c>
      <c r="Z24" s="65" t="s">
        <v>349</v>
      </c>
      <c r="AA24" s="66">
        <v>8.3988425925925929E-4</v>
      </c>
      <c r="AB24" s="67" t="s">
        <v>67</v>
      </c>
      <c r="AC24" s="68">
        <v>8.4008101851851854E-4</v>
      </c>
      <c r="AD24" s="65" t="s">
        <v>418</v>
      </c>
      <c r="AE24" s="66">
        <v>8.4331018518518511E-4</v>
      </c>
      <c r="AF24" s="67" t="s">
        <v>529</v>
      </c>
      <c r="AG24" s="68">
        <v>8.4391203703703711E-4</v>
      </c>
      <c r="AH24" s="65" t="s">
        <v>347</v>
      </c>
      <c r="AI24" s="66">
        <v>8.4759259259259249E-4</v>
      </c>
      <c r="AJ24" s="67" t="s">
        <v>481</v>
      </c>
      <c r="AK24" s="68">
        <v>8.5210648148148157E-4</v>
      </c>
      <c r="AL24" s="65" t="s">
        <v>528</v>
      </c>
      <c r="AM24" s="66">
        <v>8.5747685185185189E-4</v>
      </c>
      <c r="AN24" s="67" t="s">
        <v>549</v>
      </c>
      <c r="AO24" s="68">
        <v>8.6001157407407413E-4</v>
      </c>
      <c r="AP24" s="65" t="s">
        <v>73</v>
      </c>
      <c r="AQ24" s="66" t="s">
        <v>73</v>
      </c>
      <c r="AR24" s="67" t="s">
        <v>73</v>
      </c>
      <c r="AS24" s="68" t="s">
        <v>73</v>
      </c>
      <c r="AV24" s="156" t="s">
        <v>668</v>
      </c>
      <c r="AW24" s="151">
        <v>40</v>
      </c>
    </row>
    <row r="25" spans="1:49" ht="15" customHeight="1" thickBot="1" x14ac:dyDescent="0.25">
      <c r="A25" s="75" t="s">
        <v>141</v>
      </c>
      <c r="B25" s="71" t="s">
        <v>66</v>
      </c>
      <c r="C25" s="72">
        <v>8.1210648148148147E-4</v>
      </c>
      <c r="D25" s="71" t="s">
        <v>350</v>
      </c>
      <c r="E25" s="73">
        <v>8.1829861111111111E-4</v>
      </c>
      <c r="F25" s="71" t="s">
        <v>390</v>
      </c>
      <c r="G25" s="72">
        <v>8.1760416666666667E-4</v>
      </c>
      <c r="H25" s="71" t="s">
        <v>67</v>
      </c>
      <c r="I25" s="73">
        <v>8.2114583333333334E-4</v>
      </c>
      <c r="J25" s="71" t="s">
        <v>496</v>
      </c>
      <c r="K25" s="72">
        <v>8.2223379629629628E-4</v>
      </c>
      <c r="L25" s="71" t="s">
        <v>369</v>
      </c>
      <c r="M25" s="73">
        <v>8.2302083333333326E-4</v>
      </c>
      <c r="N25" s="71" t="s">
        <v>348</v>
      </c>
      <c r="O25" s="72">
        <v>8.2428240740740736E-4</v>
      </c>
      <c r="P25" s="71" t="s">
        <v>365</v>
      </c>
      <c r="Q25" s="73">
        <v>8.2489583333333341E-4</v>
      </c>
      <c r="R25" s="71" t="s">
        <v>418</v>
      </c>
      <c r="S25" s="72">
        <v>8.2658564814814823E-4</v>
      </c>
      <c r="T25" s="71" t="s">
        <v>542</v>
      </c>
      <c r="U25" s="73">
        <v>8.2931712962962961E-4</v>
      </c>
      <c r="V25" s="71" t="s">
        <v>329</v>
      </c>
      <c r="W25" s="72">
        <v>8.2951388888888907E-4</v>
      </c>
      <c r="X25" s="71" t="s">
        <v>529</v>
      </c>
      <c r="Y25" s="73">
        <v>8.3013888888888894E-4</v>
      </c>
      <c r="Z25" s="71" t="s">
        <v>349</v>
      </c>
      <c r="AA25" s="72">
        <v>8.3364583333333337E-4</v>
      </c>
      <c r="AB25" s="71" t="s">
        <v>63</v>
      </c>
      <c r="AC25" s="73">
        <v>8.3466435185185195E-4</v>
      </c>
      <c r="AD25" s="71" t="s">
        <v>497</v>
      </c>
      <c r="AE25" s="72">
        <v>8.3547453703703702E-4</v>
      </c>
      <c r="AF25" s="71" t="s">
        <v>500</v>
      </c>
      <c r="AG25" s="73">
        <v>8.3505787037037045E-4</v>
      </c>
      <c r="AH25" s="71" t="s">
        <v>347</v>
      </c>
      <c r="AI25" s="72">
        <v>8.3603009259259264E-4</v>
      </c>
      <c r="AJ25" s="71" t="s">
        <v>481</v>
      </c>
      <c r="AK25" s="73">
        <v>8.4312500000000002E-4</v>
      </c>
      <c r="AL25" s="71" t="s">
        <v>549</v>
      </c>
      <c r="AM25" s="72">
        <v>8.5042824074074068E-4</v>
      </c>
      <c r="AN25" s="71" t="s">
        <v>528</v>
      </c>
      <c r="AO25" s="73">
        <v>8.5359953703703694E-4</v>
      </c>
      <c r="AP25" s="71" t="s">
        <v>73</v>
      </c>
      <c r="AQ25" s="72" t="s">
        <v>73</v>
      </c>
      <c r="AR25" s="71" t="s">
        <v>73</v>
      </c>
      <c r="AS25" s="73" t="s">
        <v>73</v>
      </c>
      <c r="AT25" s="115">
        <v>8.8465277777777772E-4</v>
      </c>
      <c r="AV25" s="146" t="s">
        <v>73</v>
      </c>
      <c r="AW25" s="153" t="s">
        <v>73</v>
      </c>
    </row>
    <row r="26" spans="1:49" ht="15" customHeight="1" x14ac:dyDescent="0.2">
      <c r="A26" s="64" t="s">
        <v>142</v>
      </c>
      <c r="B26" s="65" t="s">
        <v>66</v>
      </c>
      <c r="C26" s="66">
        <v>8.4221064814814825E-4</v>
      </c>
      <c r="D26" s="67" t="s">
        <v>350</v>
      </c>
      <c r="E26" s="68">
        <v>8.4391203703703711E-4</v>
      </c>
      <c r="F26" s="65" t="s">
        <v>500</v>
      </c>
      <c r="G26" s="66">
        <v>8.5324074074074078E-4</v>
      </c>
      <c r="H26" s="67" t="s">
        <v>390</v>
      </c>
      <c r="I26" s="68">
        <v>8.5364583333333332E-4</v>
      </c>
      <c r="J26" s="65" t="s">
        <v>67</v>
      </c>
      <c r="K26" s="66">
        <v>8.5538194444444431E-4</v>
      </c>
      <c r="L26" s="67" t="s">
        <v>63</v>
      </c>
      <c r="M26" s="68">
        <v>8.5584490740740749E-4</v>
      </c>
      <c r="N26" s="65" t="s">
        <v>418</v>
      </c>
      <c r="O26" s="66">
        <v>8.5616898148148152E-4</v>
      </c>
      <c r="P26" s="67" t="s">
        <v>348</v>
      </c>
      <c r="Q26" s="68">
        <v>8.5790509259259251E-4</v>
      </c>
      <c r="R26" s="65" t="s">
        <v>347</v>
      </c>
      <c r="S26" s="66">
        <v>8.5847222222222217E-4</v>
      </c>
      <c r="T26" s="67" t="s">
        <v>369</v>
      </c>
      <c r="U26" s="68">
        <v>8.5881944444444428E-4</v>
      </c>
      <c r="V26" s="65" t="s">
        <v>529</v>
      </c>
      <c r="W26" s="66">
        <v>8.5932870370370373E-4</v>
      </c>
      <c r="X26" s="67" t="s">
        <v>329</v>
      </c>
      <c r="Y26" s="68">
        <v>8.6196759259259267E-4</v>
      </c>
      <c r="Z26" s="65" t="s">
        <v>496</v>
      </c>
      <c r="AA26" s="66">
        <v>8.6307870370370369E-4</v>
      </c>
      <c r="AB26" s="67" t="s">
        <v>497</v>
      </c>
      <c r="AC26" s="68">
        <v>8.6321759259259262E-4</v>
      </c>
      <c r="AD26" s="65" t="s">
        <v>349</v>
      </c>
      <c r="AE26" s="66">
        <v>8.6394675925925918E-4</v>
      </c>
      <c r="AF26" s="67" t="s">
        <v>542</v>
      </c>
      <c r="AG26" s="68">
        <v>8.6461805555555554E-4</v>
      </c>
      <c r="AH26" s="65" t="s">
        <v>481</v>
      </c>
      <c r="AI26" s="66">
        <v>8.6587962962962953E-4</v>
      </c>
      <c r="AJ26" s="67" t="s">
        <v>365</v>
      </c>
      <c r="AK26" s="68">
        <v>8.720254629629629E-4</v>
      </c>
      <c r="AL26" s="65" t="s">
        <v>549</v>
      </c>
      <c r="AM26" s="66">
        <v>8.7950231481481484E-4</v>
      </c>
      <c r="AN26" s="67" t="s">
        <v>668</v>
      </c>
      <c r="AO26" s="68">
        <v>8.8193287037037027E-4</v>
      </c>
      <c r="AP26" s="65" t="s">
        <v>73</v>
      </c>
      <c r="AQ26" s="66" t="s">
        <v>73</v>
      </c>
      <c r="AR26" s="67" t="s">
        <v>73</v>
      </c>
      <c r="AS26" s="68" t="s">
        <v>73</v>
      </c>
      <c r="AU26" s="116"/>
    </row>
    <row r="27" spans="1:49" ht="15" customHeight="1" x14ac:dyDescent="0.2">
      <c r="A27" s="69" t="s">
        <v>143</v>
      </c>
      <c r="B27" s="65" t="s">
        <v>500</v>
      </c>
      <c r="C27" s="66">
        <v>8.3538194444444447E-4</v>
      </c>
      <c r="D27" s="67" t="s">
        <v>67</v>
      </c>
      <c r="E27" s="68">
        <v>8.3623842592592593E-4</v>
      </c>
      <c r="F27" s="65" t="s">
        <v>350</v>
      </c>
      <c r="G27" s="66">
        <v>8.3693287037037026E-4</v>
      </c>
      <c r="H27" s="67" t="s">
        <v>418</v>
      </c>
      <c r="I27" s="68">
        <v>8.3973379629629632E-4</v>
      </c>
      <c r="J27" s="65" t="s">
        <v>369</v>
      </c>
      <c r="K27" s="66">
        <v>8.4415509259259263E-4</v>
      </c>
      <c r="L27" s="67" t="s">
        <v>66</v>
      </c>
      <c r="M27" s="68">
        <v>8.4418981481481487E-4</v>
      </c>
      <c r="N27" s="65" t="s">
        <v>347</v>
      </c>
      <c r="O27" s="66">
        <v>8.4494212962962962E-4</v>
      </c>
      <c r="P27" s="67" t="s">
        <v>348</v>
      </c>
      <c r="Q27" s="68">
        <v>8.450925925925926E-4</v>
      </c>
      <c r="R27" s="65" t="s">
        <v>329</v>
      </c>
      <c r="S27" s="66">
        <v>8.4685185185185178E-4</v>
      </c>
      <c r="T27" s="67" t="s">
        <v>481</v>
      </c>
      <c r="U27" s="68">
        <v>8.4688657407407401E-4</v>
      </c>
      <c r="V27" s="65" t="s">
        <v>529</v>
      </c>
      <c r="W27" s="66">
        <v>8.4778935185185185E-4</v>
      </c>
      <c r="X27" s="67" t="s">
        <v>496</v>
      </c>
      <c r="Y27" s="68">
        <v>8.4890046296296308E-4</v>
      </c>
      <c r="Z27" s="65" t="s">
        <v>390</v>
      </c>
      <c r="AA27" s="66">
        <v>8.4939814814814817E-4</v>
      </c>
      <c r="AB27" s="67" t="s">
        <v>542</v>
      </c>
      <c r="AC27" s="68">
        <v>8.4995370370370379E-4</v>
      </c>
      <c r="AD27" s="65" t="s">
        <v>365</v>
      </c>
      <c r="AE27" s="66">
        <v>8.5093750000000002E-4</v>
      </c>
      <c r="AF27" s="67" t="s">
        <v>63</v>
      </c>
      <c r="AG27" s="68">
        <v>8.5118055555555554E-4</v>
      </c>
      <c r="AH27" s="65" t="s">
        <v>349</v>
      </c>
      <c r="AI27" s="66">
        <v>8.5182870370370371E-4</v>
      </c>
      <c r="AJ27" s="67" t="s">
        <v>497</v>
      </c>
      <c r="AK27" s="68">
        <v>8.66550925925926E-4</v>
      </c>
      <c r="AL27" s="65" t="s">
        <v>549</v>
      </c>
      <c r="AM27" s="66">
        <v>8.6847222222222219E-4</v>
      </c>
      <c r="AN27" s="67" t="s">
        <v>528</v>
      </c>
      <c r="AO27" s="68">
        <v>8.7137731481481484E-4</v>
      </c>
      <c r="AP27" s="65" t="s">
        <v>73</v>
      </c>
      <c r="AQ27" s="66" t="s">
        <v>73</v>
      </c>
      <c r="AR27" s="67" t="s">
        <v>73</v>
      </c>
      <c r="AS27" s="68" t="s">
        <v>73</v>
      </c>
    </row>
    <row r="28" spans="1:49" ht="15" customHeight="1" thickBot="1" x14ac:dyDescent="0.25">
      <c r="A28" s="69" t="s">
        <v>144</v>
      </c>
      <c r="B28" s="65" t="s">
        <v>67</v>
      </c>
      <c r="C28" s="66">
        <v>8.1994212962962967E-4</v>
      </c>
      <c r="D28" s="67" t="s">
        <v>500</v>
      </c>
      <c r="E28" s="68">
        <v>8.2155092592592599E-4</v>
      </c>
      <c r="F28" s="65" t="s">
        <v>66</v>
      </c>
      <c r="G28" s="66">
        <v>8.2449074074074076E-4</v>
      </c>
      <c r="H28" s="67" t="s">
        <v>350</v>
      </c>
      <c r="I28" s="68">
        <v>8.2790509259259265E-4</v>
      </c>
      <c r="J28" s="65" t="s">
        <v>390</v>
      </c>
      <c r="K28" s="66">
        <v>8.3150462962962963E-4</v>
      </c>
      <c r="L28" s="67" t="s">
        <v>496</v>
      </c>
      <c r="M28" s="68">
        <v>8.3233796296296311E-4</v>
      </c>
      <c r="N28" s="65" t="s">
        <v>348</v>
      </c>
      <c r="O28" s="66">
        <v>8.3385416666666666E-4</v>
      </c>
      <c r="P28" s="67" t="s">
        <v>529</v>
      </c>
      <c r="Q28" s="68">
        <v>8.3511574074074087E-4</v>
      </c>
      <c r="R28" s="65" t="s">
        <v>347</v>
      </c>
      <c r="S28" s="66">
        <v>8.3511574074074087E-4</v>
      </c>
      <c r="T28" s="67" t="s">
        <v>365</v>
      </c>
      <c r="U28" s="68">
        <v>8.3678240740740751E-4</v>
      </c>
      <c r="V28" s="65" t="s">
        <v>329</v>
      </c>
      <c r="W28" s="66">
        <v>8.368634259259259E-4</v>
      </c>
      <c r="X28" s="67" t="s">
        <v>369</v>
      </c>
      <c r="Y28" s="68">
        <v>8.3723379629629642E-4</v>
      </c>
      <c r="Z28" s="65" t="s">
        <v>418</v>
      </c>
      <c r="AA28" s="66">
        <v>8.3795138888888895E-4</v>
      </c>
      <c r="AB28" s="67" t="s">
        <v>542</v>
      </c>
      <c r="AC28" s="68">
        <v>8.382291666666667E-4</v>
      </c>
      <c r="AD28" s="65" t="s">
        <v>497</v>
      </c>
      <c r="AE28" s="66">
        <v>8.4059027777777778E-4</v>
      </c>
      <c r="AF28" s="67" t="s">
        <v>63</v>
      </c>
      <c r="AG28" s="68">
        <v>8.4152777777777774E-4</v>
      </c>
      <c r="AH28" s="65" t="s">
        <v>349</v>
      </c>
      <c r="AI28" s="66">
        <v>8.4718749999999985E-4</v>
      </c>
      <c r="AJ28" s="67" t="s">
        <v>549</v>
      </c>
      <c r="AK28" s="68">
        <v>8.560879629629629E-4</v>
      </c>
      <c r="AL28" s="65" t="s">
        <v>528</v>
      </c>
      <c r="AM28" s="66">
        <v>8.6141203703703694E-4</v>
      </c>
      <c r="AN28" s="67" t="s">
        <v>481</v>
      </c>
      <c r="AO28" s="68" t="s">
        <v>73</v>
      </c>
      <c r="AP28" s="65" t="s">
        <v>73</v>
      </c>
      <c r="AQ28" s="66" t="s">
        <v>73</v>
      </c>
      <c r="AR28" s="67" t="s">
        <v>73</v>
      </c>
      <c r="AS28" s="68" t="s">
        <v>73</v>
      </c>
    </row>
    <row r="29" spans="1:49" ht="15" customHeight="1" thickBot="1" x14ac:dyDescent="0.25">
      <c r="A29" s="75" t="s">
        <v>145</v>
      </c>
      <c r="B29" s="71" t="s">
        <v>67</v>
      </c>
      <c r="C29" s="72">
        <v>8.1296296296296292E-4</v>
      </c>
      <c r="D29" s="71" t="s">
        <v>66</v>
      </c>
      <c r="E29" s="73">
        <v>8.1534722222222219E-4</v>
      </c>
      <c r="F29" s="71" t="s">
        <v>500</v>
      </c>
      <c r="G29" s="72">
        <v>8.2083333333333325E-4</v>
      </c>
      <c r="H29" s="71" t="s">
        <v>348</v>
      </c>
      <c r="I29" s="73">
        <v>8.225810185185185E-4</v>
      </c>
      <c r="J29" s="71" t="s">
        <v>496</v>
      </c>
      <c r="K29" s="72">
        <v>8.2267361111111115E-4</v>
      </c>
      <c r="L29" s="71" t="s">
        <v>350</v>
      </c>
      <c r="M29" s="73">
        <v>8.2292824074074072E-4</v>
      </c>
      <c r="N29" s="71" t="s">
        <v>329</v>
      </c>
      <c r="O29" s="72">
        <v>8.2550925925925934E-4</v>
      </c>
      <c r="P29" s="71" t="s">
        <v>529</v>
      </c>
      <c r="Q29" s="73">
        <v>8.3174768518518504E-4</v>
      </c>
      <c r="R29" s="71" t="s">
        <v>418</v>
      </c>
      <c r="S29" s="72">
        <v>8.5626157407407406E-4</v>
      </c>
      <c r="T29" s="71" t="s">
        <v>369</v>
      </c>
      <c r="U29" s="73" t="s">
        <v>73</v>
      </c>
      <c r="V29" s="71" t="s">
        <v>390</v>
      </c>
      <c r="W29" s="72">
        <v>8.3101851851851859E-4</v>
      </c>
      <c r="X29" s="71" t="s">
        <v>365</v>
      </c>
      <c r="Y29" s="73">
        <v>8.324189814814814E-4</v>
      </c>
      <c r="Z29" s="71" t="s">
        <v>497</v>
      </c>
      <c r="AA29" s="72">
        <v>8.3490740740740736E-4</v>
      </c>
      <c r="AB29" s="71" t="s">
        <v>542</v>
      </c>
      <c r="AC29" s="73">
        <v>8.3556712962962957E-4</v>
      </c>
      <c r="AD29" s="71" t="s">
        <v>349</v>
      </c>
      <c r="AE29" s="72" t="s">
        <v>73</v>
      </c>
      <c r="AF29" s="71" t="s">
        <v>347</v>
      </c>
      <c r="AG29" s="73">
        <v>8.3561342592592585E-4</v>
      </c>
      <c r="AH29" s="71" t="s">
        <v>63</v>
      </c>
      <c r="AI29" s="72">
        <v>8.359953703703703E-4</v>
      </c>
      <c r="AJ29" s="71" t="s">
        <v>481</v>
      </c>
      <c r="AK29" s="73">
        <v>8.3641203703703699E-4</v>
      </c>
      <c r="AL29" s="71" t="s">
        <v>549</v>
      </c>
      <c r="AM29" s="72">
        <v>8.5204861111111115E-4</v>
      </c>
      <c r="AN29" s="71" t="s">
        <v>528</v>
      </c>
      <c r="AO29" s="73">
        <v>8.6103009259259249E-4</v>
      </c>
      <c r="AP29" s="71" t="s">
        <v>73</v>
      </c>
      <c r="AQ29" s="72" t="s">
        <v>73</v>
      </c>
      <c r="AR29" s="71" t="s">
        <v>73</v>
      </c>
      <c r="AS29" s="73" t="s">
        <v>73</v>
      </c>
      <c r="AT29" s="115">
        <v>8.8175925925925932E-4</v>
      </c>
    </row>
    <row r="30" spans="1:49" ht="15" customHeight="1" x14ac:dyDescent="0.2">
      <c r="A30" s="69" t="s">
        <v>146</v>
      </c>
      <c r="B30" s="65" t="s">
        <v>66</v>
      </c>
      <c r="C30" s="66">
        <v>1.0733564814814816E-3</v>
      </c>
      <c r="D30" s="67" t="s">
        <v>350</v>
      </c>
      <c r="E30" s="68">
        <v>1.0741550925925927E-3</v>
      </c>
      <c r="F30" s="65" t="s">
        <v>500</v>
      </c>
      <c r="G30" s="66">
        <v>1.0776736111111111E-3</v>
      </c>
      <c r="H30" s="67" t="s">
        <v>390</v>
      </c>
      <c r="I30" s="68">
        <v>1.0835416666666667E-3</v>
      </c>
      <c r="J30" s="65" t="s">
        <v>67</v>
      </c>
      <c r="K30" s="66">
        <v>1.0855324074074072E-3</v>
      </c>
      <c r="L30" s="67" t="s">
        <v>496</v>
      </c>
      <c r="M30" s="68">
        <v>1.0890162037037036E-3</v>
      </c>
      <c r="N30" s="65" t="s">
        <v>529</v>
      </c>
      <c r="O30" s="66">
        <v>1.0892361111111111E-3</v>
      </c>
      <c r="P30" s="67" t="s">
        <v>418</v>
      </c>
      <c r="Q30" s="68">
        <v>1.0909837962962963E-3</v>
      </c>
      <c r="R30" s="65" t="s">
        <v>348</v>
      </c>
      <c r="S30" s="66">
        <v>1.0942129629629631E-3</v>
      </c>
      <c r="T30" s="67" t="s">
        <v>542</v>
      </c>
      <c r="U30" s="68">
        <v>1.0972685185185185E-3</v>
      </c>
      <c r="V30" s="65" t="s">
        <v>347</v>
      </c>
      <c r="W30" s="66">
        <v>1.0973263888888888E-3</v>
      </c>
      <c r="X30" s="67" t="s">
        <v>329</v>
      </c>
      <c r="Y30" s="68">
        <v>1.0973379629629629E-3</v>
      </c>
      <c r="Z30" s="65" t="s">
        <v>481</v>
      </c>
      <c r="AA30" s="66">
        <v>1.1002662037037038E-3</v>
      </c>
      <c r="AB30" s="67" t="s">
        <v>365</v>
      </c>
      <c r="AC30" s="68">
        <v>1.1033101851851853E-3</v>
      </c>
      <c r="AD30" s="65" t="s">
        <v>369</v>
      </c>
      <c r="AE30" s="66">
        <v>1.1042824074074073E-3</v>
      </c>
      <c r="AF30" s="67" t="s">
        <v>63</v>
      </c>
      <c r="AG30" s="68">
        <v>1.1055787037037037E-3</v>
      </c>
      <c r="AH30" s="65" t="s">
        <v>497</v>
      </c>
      <c r="AI30" s="66">
        <v>1.1122916666666666E-3</v>
      </c>
      <c r="AJ30" s="67" t="s">
        <v>668</v>
      </c>
      <c r="AK30" s="68">
        <v>1.1243865740740741E-3</v>
      </c>
      <c r="AL30" s="65" t="s">
        <v>528</v>
      </c>
      <c r="AM30" s="66">
        <v>1.1246759259259259E-3</v>
      </c>
      <c r="AN30" s="67" t="s">
        <v>349</v>
      </c>
      <c r="AO30" s="68">
        <v>1.1298611111111112E-3</v>
      </c>
      <c r="AP30" s="65" t="s">
        <v>73</v>
      </c>
      <c r="AQ30" s="66" t="s">
        <v>73</v>
      </c>
      <c r="AR30" s="67" t="s">
        <v>73</v>
      </c>
      <c r="AS30" s="68" t="s">
        <v>73</v>
      </c>
    </row>
    <row r="31" spans="1:49" s="14" customFormat="1" ht="15" customHeight="1" x14ac:dyDescent="0.2">
      <c r="A31" s="69" t="s">
        <v>147</v>
      </c>
      <c r="B31" s="65" t="s">
        <v>350</v>
      </c>
      <c r="C31" s="66">
        <v>1.0525115740740742E-3</v>
      </c>
      <c r="D31" s="67" t="s">
        <v>66</v>
      </c>
      <c r="E31" s="68">
        <v>1.0574189814814814E-3</v>
      </c>
      <c r="F31" s="65" t="s">
        <v>500</v>
      </c>
      <c r="G31" s="66">
        <v>1.0600231481481483E-3</v>
      </c>
      <c r="H31" s="67" t="s">
        <v>67</v>
      </c>
      <c r="I31" s="68">
        <v>1.0609375E-3</v>
      </c>
      <c r="J31" s="65" t="s">
        <v>529</v>
      </c>
      <c r="K31" s="66">
        <v>1.0634490740740741E-3</v>
      </c>
      <c r="L31" s="67" t="s">
        <v>390</v>
      </c>
      <c r="M31" s="68">
        <v>1.0653819444444443E-3</v>
      </c>
      <c r="N31" s="65" t="s">
        <v>418</v>
      </c>
      <c r="O31" s="66">
        <v>1.0698148148148149E-3</v>
      </c>
      <c r="P31" s="67" t="s">
        <v>496</v>
      </c>
      <c r="Q31" s="68">
        <v>1.07E-3</v>
      </c>
      <c r="R31" s="65" t="s">
        <v>63</v>
      </c>
      <c r="S31" s="66">
        <v>1.072650462962963E-3</v>
      </c>
      <c r="T31" s="67" t="s">
        <v>369</v>
      </c>
      <c r="U31" s="68">
        <v>1.0739467592592591E-3</v>
      </c>
      <c r="V31" s="65" t="s">
        <v>497</v>
      </c>
      <c r="W31" s="66">
        <v>1.0760763888888888E-3</v>
      </c>
      <c r="X31" s="67" t="s">
        <v>348</v>
      </c>
      <c r="Y31" s="68">
        <v>1.0766203703703704E-3</v>
      </c>
      <c r="Z31" s="65" t="s">
        <v>542</v>
      </c>
      <c r="AA31" s="66">
        <v>1.0766550925925928E-3</v>
      </c>
      <c r="AB31" s="67" t="s">
        <v>329</v>
      </c>
      <c r="AC31" s="68">
        <v>1.077326388888889E-3</v>
      </c>
      <c r="AD31" s="65" t="s">
        <v>365</v>
      </c>
      <c r="AE31" s="66">
        <v>1.0793287037037037E-3</v>
      </c>
      <c r="AF31" s="67" t="s">
        <v>347</v>
      </c>
      <c r="AG31" s="68">
        <v>1.0798611111111111E-3</v>
      </c>
      <c r="AH31" s="65" t="s">
        <v>349</v>
      </c>
      <c r="AI31" s="66">
        <v>1.0832291666666666E-3</v>
      </c>
      <c r="AJ31" s="67" t="s">
        <v>481</v>
      </c>
      <c r="AK31" s="68">
        <v>1.0866203703703704E-3</v>
      </c>
      <c r="AL31" s="65" t="s">
        <v>549</v>
      </c>
      <c r="AM31" s="66">
        <v>1.0950694444444443E-3</v>
      </c>
      <c r="AN31" s="67" t="s">
        <v>528</v>
      </c>
      <c r="AO31" s="68">
        <v>1.1017939814814816E-3</v>
      </c>
      <c r="AP31" s="65" t="s">
        <v>73</v>
      </c>
      <c r="AQ31" s="66" t="s">
        <v>73</v>
      </c>
      <c r="AR31" s="67" t="s">
        <v>73</v>
      </c>
      <c r="AS31" s="68" t="s">
        <v>73</v>
      </c>
      <c r="AT31" s="116"/>
    </row>
    <row r="32" spans="1:49" ht="15" customHeight="1" thickBot="1" x14ac:dyDescent="0.25">
      <c r="A32" s="69" t="s">
        <v>148</v>
      </c>
      <c r="B32" s="65" t="s">
        <v>350</v>
      </c>
      <c r="C32" s="66">
        <v>1.0435069444444443E-3</v>
      </c>
      <c r="D32" s="67" t="s">
        <v>66</v>
      </c>
      <c r="E32" s="68">
        <v>1.0439814814814815E-3</v>
      </c>
      <c r="F32" s="65" t="s">
        <v>500</v>
      </c>
      <c r="G32" s="66">
        <v>1.0486689814814814E-3</v>
      </c>
      <c r="H32" s="67" t="s">
        <v>67</v>
      </c>
      <c r="I32" s="68">
        <v>1.0489930555555554E-3</v>
      </c>
      <c r="J32" s="65" t="s">
        <v>390</v>
      </c>
      <c r="K32" s="66">
        <v>1.0594675925925925E-3</v>
      </c>
      <c r="L32" s="67" t="s">
        <v>496</v>
      </c>
      <c r="M32" s="68">
        <v>1.0601736111111111E-3</v>
      </c>
      <c r="N32" s="65" t="s">
        <v>529</v>
      </c>
      <c r="O32" s="66">
        <v>1.060810185185185E-3</v>
      </c>
      <c r="P32" s="67" t="s">
        <v>348</v>
      </c>
      <c r="Q32" s="68">
        <v>1.0625231481481482E-3</v>
      </c>
      <c r="R32" s="65" t="s">
        <v>418</v>
      </c>
      <c r="S32" s="66">
        <v>1.0635069444444444E-3</v>
      </c>
      <c r="T32" s="67" t="s">
        <v>63</v>
      </c>
      <c r="U32" s="68">
        <v>1.0641550925925925E-3</v>
      </c>
      <c r="V32" s="65" t="s">
        <v>329</v>
      </c>
      <c r="W32" s="66">
        <v>1.0650810185185186E-3</v>
      </c>
      <c r="X32" s="67" t="s">
        <v>497</v>
      </c>
      <c r="Y32" s="68">
        <v>1.0667939814814813E-3</v>
      </c>
      <c r="Z32" s="65" t="s">
        <v>542</v>
      </c>
      <c r="AA32" s="66">
        <v>1.0668749999999999E-3</v>
      </c>
      <c r="AB32" s="67" t="s">
        <v>349</v>
      </c>
      <c r="AC32" s="68">
        <v>1.0692708333333333E-3</v>
      </c>
      <c r="AD32" s="65" t="s">
        <v>369</v>
      </c>
      <c r="AE32" s="66">
        <v>1.0694444444444445E-3</v>
      </c>
      <c r="AF32" s="67" t="s">
        <v>347</v>
      </c>
      <c r="AG32" s="68">
        <v>1.0704976851851852E-3</v>
      </c>
      <c r="AH32" s="65" t="s">
        <v>365</v>
      </c>
      <c r="AI32" s="66">
        <v>1.0710648148148148E-3</v>
      </c>
      <c r="AJ32" s="67" t="s">
        <v>481</v>
      </c>
      <c r="AK32" s="68">
        <v>1.0726620370370371E-3</v>
      </c>
      <c r="AL32" s="65" t="s">
        <v>528</v>
      </c>
      <c r="AM32" s="66">
        <v>1.0868287037037038E-3</v>
      </c>
      <c r="AN32" s="67" t="s">
        <v>549</v>
      </c>
      <c r="AO32" s="68">
        <v>1.1572569444444445E-3</v>
      </c>
      <c r="AP32" s="65" t="s">
        <v>73</v>
      </c>
      <c r="AQ32" s="66" t="s">
        <v>73</v>
      </c>
      <c r="AR32" s="67" t="s">
        <v>73</v>
      </c>
      <c r="AS32" s="68" t="s">
        <v>73</v>
      </c>
    </row>
    <row r="33" spans="1:46" ht="15" customHeight="1" thickBot="1" x14ac:dyDescent="0.25">
      <c r="A33" s="75" t="s">
        <v>149</v>
      </c>
      <c r="B33" s="71" t="s">
        <v>66</v>
      </c>
      <c r="C33" s="72">
        <v>1.0222106481481482E-3</v>
      </c>
      <c r="D33" s="71" t="s">
        <v>350</v>
      </c>
      <c r="E33" s="73">
        <v>1.0255208333333334E-3</v>
      </c>
      <c r="F33" s="71" t="s">
        <v>500</v>
      </c>
      <c r="G33" s="72">
        <v>1.0296875E-3</v>
      </c>
      <c r="H33" s="71" t="s">
        <v>390</v>
      </c>
      <c r="I33" s="73">
        <v>1.0348263888888887E-3</v>
      </c>
      <c r="J33" s="71" t="s">
        <v>529</v>
      </c>
      <c r="K33" s="72">
        <v>1.0349305555555556E-3</v>
      </c>
      <c r="L33" s="71" t="s">
        <v>418</v>
      </c>
      <c r="M33" s="73">
        <v>1.0361342592592592E-3</v>
      </c>
      <c r="N33" s="71" t="s">
        <v>67</v>
      </c>
      <c r="O33" s="72">
        <v>1.0393402777777777E-3</v>
      </c>
      <c r="P33" s="71" t="s">
        <v>348</v>
      </c>
      <c r="Q33" s="73">
        <v>1.0407175925925924E-3</v>
      </c>
      <c r="R33" s="71" t="s">
        <v>496</v>
      </c>
      <c r="S33" s="72">
        <v>1.0437962962962964E-3</v>
      </c>
      <c r="T33" s="71" t="s">
        <v>497</v>
      </c>
      <c r="U33" s="73">
        <v>1.08125E-3</v>
      </c>
      <c r="V33" s="71" t="s">
        <v>542</v>
      </c>
      <c r="W33" s="72">
        <v>1.0470023148148146E-3</v>
      </c>
      <c r="X33" s="71" t="s">
        <v>63</v>
      </c>
      <c r="Y33" s="73">
        <v>1.0478356481481482E-3</v>
      </c>
      <c r="Z33" s="71" t="s">
        <v>329</v>
      </c>
      <c r="AA33" s="72">
        <v>1.047962962962963E-3</v>
      </c>
      <c r="AB33" s="71" t="s">
        <v>347</v>
      </c>
      <c r="AC33" s="73">
        <v>1.0502083333333333E-3</v>
      </c>
      <c r="AD33" s="71" t="s">
        <v>369</v>
      </c>
      <c r="AE33" s="72">
        <v>1.0583333333333332E-3</v>
      </c>
      <c r="AF33" s="71" t="s">
        <v>365</v>
      </c>
      <c r="AG33" s="73">
        <v>1.0597685185185185E-3</v>
      </c>
      <c r="AH33" s="71" t="s">
        <v>349</v>
      </c>
      <c r="AI33" s="72">
        <v>1.060486111111111E-3</v>
      </c>
      <c r="AJ33" s="71" t="s">
        <v>481</v>
      </c>
      <c r="AK33" s="73">
        <v>1.0616435185185184E-3</v>
      </c>
      <c r="AL33" s="71" t="s">
        <v>549</v>
      </c>
      <c r="AM33" s="72">
        <v>1.0739467592592591E-3</v>
      </c>
      <c r="AN33" s="71" t="s">
        <v>528</v>
      </c>
      <c r="AO33" s="73">
        <v>1.0787615740740742E-3</v>
      </c>
      <c r="AP33" s="71" t="s">
        <v>73</v>
      </c>
      <c r="AQ33" s="72" t="s">
        <v>73</v>
      </c>
      <c r="AR33" s="71" t="s">
        <v>73</v>
      </c>
      <c r="AS33" s="73" t="s">
        <v>73</v>
      </c>
      <c r="AT33" s="115">
        <v>1.121388888888889E-3</v>
      </c>
    </row>
    <row r="34" spans="1:46" ht="15" customHeight="1" x14ac:dyDescent="0.2">
      <c r="A34" s="64" t="s">
        <v>150</v>
      </c>
      <c r="B34" s="65" t="s">
        <v>66</v>
      </c>
      <c r="C34" s="66">
        <v>7.5043981481481478E-4</v>
      </c>
      <c r="D34" s="67" t="s">
        <v>67</v>
      </c>
      <c r="E34" s="68">
        <v>7.5148148148148155E-4</v>
      </c>
      <c r="F34" s="65" t="s">
        <v>350</v>
      </c>
      <c r="G34" s="66">
        <v>7.5230324074074077E-4</v>
      </c>
      <c r="H34" s="67" t="s">
        <v>500</v>
      </c>
      <c r="I34" s="68">
        <v>7.5394675925925933E-4</v>
      </c>
      <c r="J34" s="65" t="s">
        <v>390</v>
      </c>
      <c r="K34" s="66">
        <v>7.5532407407407406E-4</v>
      </c>
      <c r="L34" s="67" t="s">
        <v>496</v>
      </c>
      <c r="M34" s="68">
        <v>7.5668981481481475E-4</v>
      </c>
      <c r="N34" s="65" t="s">
        <v>418</v>
      </c>
      <c r="O34" s="66">
        <v>7.5812500000000001E-4</v>
      </c>
      <c r="P34" s="67" t="s">
        <v>348</v>
      </c>
      <c r="Q34" s="68">
        <v>7.6210648148148134E-4</v>
      </c>
      <c r="R34" s="65" t="s">
        <v>369</v>
      </c>
      <c r="S34" s="66">
        <v>7.6245370370370367E-4</v>
      </c>
      <c r="T34" s="67" t="s">
        <v>529</v>
      </c>
      <c r="U34" s="68">
        <v>7.6533564814814813E-4</v>
      </c>
      <c r="V34" s="65" t="s">
        <v>349</v>
      </c>
      <c r="W34" s="66">
        <v>7.6545138888888887E-4</v>
      </c>
      <c r="X34" s="67" t="s">
        <v>365</v>
      </c>
      <c r="Y34" s="68">
        <v>7.6703703703703699E-4</v>
      </c>
      <c r="Z34" s="65" t="s">
        <v>542</v>
      </c>
      <c r="AA34" s="66">
        <v>7.6718749999999997E-4</v>
      </c>
      <c r="AB34" s="67" t="s">
        <v>329</v>
      </c>
      <c r="AC34" s="68">
        <v>7.6832175925925928E-4</v>
      </c>
      <c r="AD34" s="65" t="s">
        <v>347</v>
      </c>
      <c r="AE34" s="66">
        <v>7.6917824074074074E-4</v>
      </c>
      <c r="AF34" s="67" t="s">
        <v>497</v>
      </c>
      <c r="AG34" s="68">
        <v>7.7208333333333328E-4</v>
      </c>
      <c r="AH34" s="65" t="s">
        <v>63</v>
      </c>
      <c r="AI34" s="66">
        <v>7.723263888888888E-4</v>
      </c>
      <c r="AJ34" s="67" t="s">
        <v>481</v>
      </c>
      <c r="AK34" s="68">
        <v>7.7263888888888901E-4</v>
      </c>
      <c r="AL34" s="65" t="s">
        <v>549</v>
      </c>
      <c r="AM34" s="66">
        <v>7.7320601851851856E-4</v>
      </c>
      <c r="AN34" s="67" t="s">
        <v>528</v>
      </c>
      <c r="AO34" s="68">
        <v>7.8315972222222231E-4</v>
      </c>
      <c r="AP34" s="65" t="s">
        <v>73</v>
      </c>
      <c r="AQ34" s="66" t="s">
        <v>73</v>
      </c>
      <c r="AR34" s="67" t="s">
        <v>73</v>
      </c>
      <c r="AS34" s="68" t="s">
        <v>73</v>
      </c>
    </row>
    <row r="35" spans="1:46" ht="15" customHeight="1" x14ac:dyDescent="0.2">
      <c r="A35" s="69" t="s">
        <v>151</v>
      </c>
      <c r="B35" s="65" t="s">
        <v>500</v>
      </c>
      <c r="C35" s="66">
        <v>7.5331018518518509E-4</v>
      </c>
      <c r="D35" s="67" t="s">
        <v>350</v>
      </c>
      <c r="E35" s="68">
        <v>7.5714120370370356E-4</v>
      </c>
      <c r="F35" s="65" t="s">
        <v>496</v>
      </c>
      <c r="G35" s="66">
        <v>7.5795138888888885E-4</v>
      </c>
      <c r="H35" s="67" t="s">
        <v>66</v>
      </c>
      <c r="I35" s="68">
        <v>7.584375E-4</v>
      </c>
      <c r="J35" s="65" t="s">
        <v>418</v>
      </c>
      <c r="K35" s="66">
        <v>7.5862268518518509E-4</v>
      </c>
      <c r="L35" s="67" t="s">
        <v>349</v>
      </c>
      <c r="M35" s="68">
        <v>7.6042824074074077E-4</v>
      </c>
      <c r="N35" s="65" t="s">
        <v>63</v>
      </c>
      <c r="O35" s="66">
        <v>7.6074074074074065E-4</v>
      </c>
      <c r="P35" s="67" t="s">
        <v>67</v>
      </c>
      <c r="Q35" s="68">
        <v>7.6239583333333335E-4</v>
      </c>
      <c r="R35" s="65" t="s">
        <v>390</v>
      </c>
      <c r="S35" s="66">
        <v>7.624884259259259E-4</v>
      </c>
      <c r="T35" s="67" t="s">
        <v>529</v>
      </c>
      <c r="U35" s="68">
        <v>7.6333333333333331E-4</v>
      </c>
      <c r="V35" s="65" t="s">
        <v>369</v>
      </c>
      <c r="W35" s="66">
        <v>7.6342592592592597E-4</v>
      </c>
      <c r="X35" s="67" t="s">
        <v>347</v>
      </c>
      <c r="Y35" s="68">
        <v>7.6347222222222224E-4</v>
      </c>
      <c r="Z35" s="65" t="s">
        <v>542</v>
      </c>
      <c r="AA35" s="66">
        <v>7.6462962962962954E-4</v>
      </c>
      <c r="AB35" s="67" t="s">
        <v>497</v>
      </c>
      <c r="AC35" s="68">
        <v>7.6526620370370366E-4</v>
      </c>
      <c r="AD35" s="65" t="s">
        <v>365</v>
      </c>
      <c r="AE35" s="66">
        <v>7.6560185185185195E-4</v>
      </c>
      <c r="AF35" s="67" t="s">
        <v>329</v>
      </c>
      <c r="AG35" s="68">
        <v>7.6677083333333328E-4</v>
      </c>
      <c r="AH35" s="65" t="s">
        <v>348</v>
      </c>
      <c r="AI35" s="66">
        <v>7.6872685185185193E-4</v>
      </c>
      <c r="AJ35" s="67" t="s">
        <v>481</v>
      </c>
      <c r="AK35" s="68">
        <v>7.7348379629629631E-4</v>
      </c>
      <c r="AL35" s="65" t="s">
        <v>549</v>
      </c>
      <c r="AM35" s="66">
        <v>7.7797453703703698E-4</v>
      </c>
      <c r="AN35" s="67" t="s">
        <v>528</v>
      </c>
      <c r="AO35" s="68">
        <v>7.929166666666666E-4</v>
      </c>
      <c r="AP35" s="65" t="s">
        <v>73</v>
      </c>
      <c r="AQ35" s="66" t="s">
        <v>73</v>
      </c>
      <c r="AR35" s="67" t="s">
        <v>73</v>
      </c>
      <c r="AS35" s="68" t="s">
        <v>73</v>
      </c>
    </row>
    <row r="36" spans="1:46" ht="15" customHeight="1" thickBot="1" x14ac:dyDescent="0.25">
      <c r="A36" s="69" t="s">
        <v>152</v>
      </c>
      <c r="B36" s="65" t="s">
        <v>500</v>
      </c>
      <c r="C36" s="66">
        <v>7.4059027777777762E-4</v>
      </c>
      <c r="D36" s="67" t="s">
        <v>66</v>
      </c>
      <c r="E36" s="68">
        <v>7.4224537037037043E-4</v>
      </c>
      <c r="F36" s="65" t="s">
        <v>350</v>
      </c>
      <c r="G36" s="66">
        <v>7.4329861111111113E-4</v>
      </c>
      <c r="H36" s="67" t="s">
        <v>67</v>
      </c>
      <c r="I36" s="68">
        <v>7.4363425925925931E-4</v>
      </c>
      <c r="J36" s="65" t="s">
        <v>390</v>
      </c>
      <c r="K36" s="66">
        <v>7.4590277777777773E-4</v>
      </c>
      <c r="L36" s="67" t="s">
        <v>529</v>
      </c>
      <c r="M36" s="68">
        <v>7.521527777777778E-4</v>
      </c>
      <c r="N36" s="65" t="s">
        <v>496</v>
      </c>
      <c r="O36" s="66">
        <v>7.5407407407407411E-4</v>
      </c>
      <c r="P36" s="67" t="s">
        <v>418</v>
      </c>
      <c r="Q36" s="68">
        <v>7.5484953703703706E-4</v>
      </c>
      <c r="R36" s="65" t="s">
        <v>497</v>
      </c>
      <c r="S36" s="66">
        <v>7.562037037037037E-4</v>
      </c>
      <c r="T36" s="67" t="s">
        <v>365</v>
      </c>
      <c r="U36" s="68">
        <v>7.5684027777777772E-4</v>
      </c>
      <c r="V36" s="65" t="s">
        <v>542</v>
      </c>
      <c r="W36" s="66">
        <v>7.5788194444444438E-4</v>
      </c>
      <c r="X36" s="67" t="s">
        <v>329</v>
      </c>
      <c r="Y36" s="68">
        <v>7.5826388888888894E-4</v>
      </c>
      <c r="Z36" s="65" t="s">
        <v>63</v>
      </c>
      <c r="AA36" s="66">
        <v>7.5826388888888894E-4</v>
      </c>
      <c r="AB36" s="67" t="s">
        <v>347</v>
      </c>
      <c r="AC36" s="68">
        <v>7.5836805555555553E-4</v>
      </c>
      <c r="AD36" s="65" t="s">
        <v>349</v>
      </c>
      <c r="AE36" s="66">
        <v>7.594907407407407E-4</v>
      </c>
      <c r="AF36" s="67" t="s">
        <v>481</v>
      </c>
      <c r="AG36" s="68">
        <v>7.5983796296296303E-4</v>
      </c>
      <c r="AH36" s="65" t="s">
        <v>348</v>
      </c>
      <c r="AI36" s="66">
        <v>7.6247685185185186E-4</v>
      </c>
      <c r="AJ36" s="67" t="s">
        <v>369</v>
      </c>
      <c r="AK36" s="68">
        <v>7.6408564814814818E-4</v>
      </c>
      <c r="AL36" s="65" t="s">
        <v>549</v>
      </c>
      <c r="AM36" s="66">
        <v>7.7171296296296287E-4</v>
      </c>
      <c r="AN36" s="67" t="s">
        <v>528</v>
      </c>
      <c r="AO36" s="68">
        <v>7.8106481481481484E-4</v>
      </c>
      <c r="AP36" s="65" t="s">
        <v>73</v>
      </c>
      <c r="AQ36" s="66" t="s">
        <v>73</v>
      </c>
      <c r="AR36" s="67" t="s">
        <v>73</v>
      </c>
      <c r="AS36" s="68" t="s">
        <v>73</v>
      </c>
    </row>
    <row r="37" spans="1:46" ht="15" customHeight="1" thickBot="1" x14ac:dyDescent="0.25">
      <c r="A37" s="75" t="s">
        <v>153</v>
      </c>
      <c r="B37" s="71" t="s">
        <v>500</v>
      </c>
      <c r="C37" s="72">
        <v>7.2920138888888893E-4</v>
      </c>
      <c r="D37" s="71" t="s">
        <v>66</v>
      </c>
      <c r="E37" s="73">
        <v>7.3219907407407402E-4</v>
      </c>
      <c r="F37" s="71" t="s">
        <v>390</v>
      </c>
      <c r="G37" s="72">
        <v>7.3424768518518511E-4</v>
      </c>
      <c r="H37" s="71" t="s">
        <v>350</v>
      </c>
      <c r="I37" s="73">
        <v>7.3538194444444443E-4</v>
      </c>
      <c r="J37" s="71" t="s">
        <v>369</v>
      </c>
      <c r="K37" s="72">
        <v>7.4157407407407418E-4</v>
      </c>
      <c r="L37" s="71" t="s">
        <v>529</v>
      </c>
      <c r="M37" s="73">
        <v>7.4188657407407406E-4</v>
      </c>
      <c r="N37" s="71" t="s">
        <v>63</v>
      </c>
      <c r="O37" s="72">
        <v>7.426620370370369E-4</v>
      </c>
      <c r="P37" s="71" t="s">
        <v>497</v>
      </c>
      <c r="Q37" s="73">
        <v>7.4281249999999998E-4</v>
      </c>
      <c r="R37" s="71" t="s">
        <v>496</v>
      </c>
      <c r="S37" s="72">
        <v>7.4304398148148135E-4</v>
      </c>
      <c r="T37" s="71" t="s">
        <v>67</v>
      </c>
      <c r="U37" s="73" t="s">
        <v>73</v>
      </c>
      <c r="V37" s="71" t="s">
        <v>349</v>
      </c>
      <c r="W37" s="72">
        <v>7.4641203703703707E-4</v>
      </c>
      <c r="X37" s="71" t="s">
        <v>329</v>
      </c>
      <c r="Y37" s="73">
        <v>7.4671296296296291E-4</v>
      </c>
      <c r="Z37" s="71" t="s">
        <v>542</v>
      </c>
      <c r="AA37" s="72">
        <v>7.4843749999999997E-4</v>
      </c>
      <c r="AB37" s="71" t="s">
        <v>348</v>
      </c>
      <c r="AC37" s="73">
        <v>7.4988425925925928E-4</v>
      </c>
      <c r="AD37" s="71" t="s">
        <v>418</v>
      </c>
      <c r="AE37" s="72">
        <v>8.5186342592592594E-4</v>
      </c>
      <c r="AF37" s="71" t="s">
        <v>347</v>
      </c>
      <c r="AG37" s="73">
        <v>7.4987268518518513E-4</v>
      </c>
      <c r="AH37" s="71" t="s">
        <v>481</v>
      </c>
      <c r="AI37" s="72">
        <v>7.5037037037037043E-4</v>
      </c>
      <c r="AJ37" s="71" t="s">
        <v>365</v>
      </c>
      <c r="AK37" s="73">
        <v>7.5606481481481488E-4</v>
      </c>
      <c r="AL37" s="71" t="s">
        <v>549</v>
      </c>
      <c r="AM37" s="72">
        <v>7.6277777777777791E-4</v>
      </c>
      <c r="AN37" s="71" t="s">
        <v>528</v>
      </c>
      <c r="AO37" s="73">
        <v>7.662731481481482E-4</v>
      </c>
      <c r="AP37" s="71" t="s">
        <v>73</v>
      </c>
      <c r="AQ37" s="72" t="s">
        <v>73</v>
      </c>
      <c r="AR37" s="71" t="s">
        <v>73</v>
      </c>
      <c r="AS37" s="73" t="s">
        <v>73</v>
      </c>
      <c r="AT37" s="115">
        <v>7.9019675925925926E-4</v>
      </c>
    </row>
    <row r="38" spans="1:46" ht="15" customHeight="1" x14ac:dyDescent="0.2">
      <c r="A38" s="64" t="s">
        <v>154</v>
      </c>
      <c r="B38" s="65" t="s">
        <v>496</v>
      </c>
      <c r="C38" s="66">
        <v>1.0089467592592591E-3</v>
      </c>
      <c r="D38" s="67" t="s">
        <v>350</v>
      </c>
      <c r="E38" s="68">
        <v>1.014224537037037E-3</v>
      </c>
      <c r="F38" s="65" t="s">
        <v>390</v>
      </c>
      <c r="G38" s="66">
        <v>1.0186226851851851E-3</v>
      </c>
      <c r="H38" s="67" t="s">
        <v>66</v>
      </c>
      <c r="I38" s="68">
        <v>1.0199305555555556E-3</v>
      </c>
      <c r="J38" s="65" t="s">
        <v>500</v>
      </c>
      <c r="K38" s="66">
        <v>1.0214467592592593E-3</v>
      </c>
      <c r="L38" s="67" t="s">
        <v>67</v>
      </c>
      <c r="M38" s="68">
        <v>1.022037037037037E-3</v>
      </c>
      <c r="N38" s="65" t="s">
        <v>329</v>
      </c>
      <c r="O38" s="66">
        <v>1.0278125000000001E-3</v>
      </c>
      <c r="P38" s="67" t="s">
        <v>348</v>
      </c>
      <c r="Q38" s="68">
        <v>1.0304513888888887E-3</v>
      </c>
      <c r="R38" s="65" t="s">
        <v>542</v>
      </c>
      <c r="S38" s="66">
        <v>1.0311689814814814E-3</v>
      </c>
      <c r="T38" s="67" t="s">
        <v>418</v>
      </c>
      <c r="U38" s="68">
        <v>1.0319675925925926E-3</v>
      </c>
      <c r="V38" s="65" t="s">
        <v>529</v>
      </c>
      <c r="W38" s="66">
        <v>1.0320601851851851E-3</v>
      </c>
      <c r="X38" s="67" t="s">
        <v>347</v>
      </c>
      <c r="Y38" s="68">
        <v>1.0353356481481483E-3</v>
      </c>
      <c r="Z38" s="65" t="s">
        <v>365</v>
      </c>
      <c r="AA38" s="66">
        <v>1.0358796296296297E-3</v>
      </c>
      <c r="AB38" s="67" t="s">
        <v>481</v>
      </c>
      <c r="AC38" s="68">
        <v>1.0376967592592593E-3</v>
      </c>
      <c r="AD38" s="65" t="s">
        <v>497</v>
      </c>
      <c r="AE38" s="66">
        <v>1.0428125000000001E-3</v>
      </c>
      <c r="AF38" s="67" t="s">
        <v>369</v>
      </c>
      <c r="AG38" s="68">
        <v>1.0486689814814814E-3</v>
      </c>
      <c r="AH38" s="65" t="s">
        <v>549</v>
      </c>
      <c r="AI38" s="66">
        <v>1.0502430555555556E-3</v>
      </c>
      <c r="AJ38" s="67" t="s">
        <v>63</v>
      </c>
      <c r="AK38" s="68">
        <v>1.0503124999999998E-3</v>
      </c>
      <c r="AL38" s="65" t="s">
        <v>349</v>
      </c>
      <c r="AM38" s="66">
        <v>1.0510532407407406E-3</v>
      </c>
      <c r="AN38" s="67" t="s">
        <v>528</v>
      </c>
      <c r="AO38" s="68">
        <v>1.0546412037037037E-3</v>
      </c>
      <c r="AP38" s="65" t="s">
        <v>73</v>
      </c>
      <c r="AQ38" s="66" t="s">
        <v>73</v>
      </c>
      <c r="AR38" s="67" t="s">
        <v>73</v>
      </c>
      <c r="AS38" s="68" t="s">
        <v>73</v>
      </c>
    </row>
    <row r="39" spans="1:46" ht="15" customHeight="1" x14ac:dyDescent="0.2">
      <c r="A39" s="69" t="s">
        <v>155</v>
      </c>
      <c r="B39" s="65" t="s">
        <v>350</v>
      </c>
      <c r="C39" s="66">
        <v>1.0038425925925926E-3</v>
      </c>
      <c r="D39" s="67" t="s">
        <v>66</v>
      </c>
      <c r="E39" s="68">
        <v>1.0046412037037036E-3</v>
      </c>
      <c r="F39" s="65" t="s">
        <v>500</v>
      </c>
      <c r="G39" s="66">
        <v>1.0061226851851852E-3</v>
      </c>
      <c r="H39" s="67" t="s">
        <v>67</v>
      </c>
      <c r="I39" s="68">
        <v>1.0090277777777777E-3</v>
      </c>
      <c r="J39" s="65" t="s">
        <v>496</v>
      </c>
      <c r="K39" s="66">
        <v>1.0098263888888889E-3</v>
      </c>
      <c r="L39" s="67" t="s">
        <v>529</v>
      </c>
      <c r="M39" s="68">
        <v>1.0132638888888889E-3</v>
      </c>
      <c r="N39" s="65" t="s">
        <v>390</v>
      </c>
      <c r="O39" s="66">
        <v>1.0134490740740742E-3</v>
      </c>
      <c r="P39" s="67" t="s">
        <v>418</v>
      </c>
      <c r="Q39" s="68">
        <v>1.0183680555555556E-3</v>
      </c>
      <c r="R39" s="65" t="s">
        <v>542</v>
      </c>
      <c r="S39" s="66">
        <v>1.0184837962962962E-3</v>
      </c>
      <c r="T39" s="67" t="s">
        <v>347</v>
      </c>
      <c r="U39" s="68">
        <v>1.0185416666666665E-3</v>
      </c>
      <c r="V39" s="65" t="s">
        <v>365</v>
      </c>
      <c r="W39" s="66">
        <v>1.0186111111111112E-3</v>
      </c>
      <c r="X39" s="67" t="s">
        <v>369</v>
      </c>
      <c r="Y39" s="68">
        <v>1.0192013888888887E-3</v>
      </c>
      <c r="Z39" s="65" t="s">
        <v>63</v>
      </c>
      <c r="AA39" s="66">
        <v>1.019976851851852E-3</v>
      </c>
      <c r="AB39" s="67" t="s">
        <v>348</v>
      </c>
      <c r="AC39" s="68">
        <v>1.0199999999999999E-3</v>
      </c>
      <c r="AD39" s="65" t="s">
        <v>329</v>
      </c>
      <c r="AE39" s="66">
        <v>1.0210300925925927E-3</v>
      </c>
      <c r="AF39" s="67" t="s">
        <v>481</v>
      </c>
      <c r="AG39" s="68">
        <v>1.0212962962962962E-3</v>
      </c>
      <c r="AH39" s="65" t="s">
        <v>497</v>
      </c>
      <c r="AI39" s="66">
        <v>1.0219212962962964E-3</v>
      </c>
      <c r="AJ39" s="67" t="s">
        <v>349</v>
      </c>
      <c r="AK39" s="68">
        <v>1.0277083333333334E-3</v>
      </c>
      <c r="AL39" s="65" t="s">
        <v>528</v>
      </c>
      <c r="AM39" s="66">
        <v>1.0409143518518519E-3</v>
      </c>
      <c r="AN39" s="67" t="s">
        <v>549</v>
      </c>
      <c r="AO39" s="68">
        <v>1.0476157407407407E-3</v>
      </c>
      <c r="AP39" s="65" t="s">
        <v>73</v>
      </c>
      <c r="AQ39" s="66" t="s">
        <v>73</v>
      </c>
      <c r="AR39" s="67" t="s">
        <v>73</v>
      </c>
      <c r="AS39" s="68" t="s">
        <v>73</v>
      </c>
    </row>
    <row r="40" spans="1:46" ht="15" customHeight="1" thickBot="1" x14ac:dyDescent="0.25">
      <c r="A40" s="69" t="s">
        <v>156</v>
      </c>
      <c r="B40" s="65" t="s">
        <v>500</v>
      </c>
      <c r="C40" s="66">
        <v>9.9457175925925928E-4</v>
      </c>
      <c r="D40" s="67" t="s">
        <v>67</v>
      </c>
      <c r="E40" s="68">
        <v>9.9457175925925928E-4</v>
      </c>
      <c r="F40" s="65" t="s">
        <v>66</v>
      </c>
      <c r="G40" s="66">
        <v>9.9483796296296299E-4</v>
      </c>
      <c r="H40" s="67" t="s">
        <v>496</v>
      </c>
      <c r="I40" s="68">
        <v>9.9673611111111122E-4</v>
      </c>
      <c r="J40" s="65" t="s">
        <v>390</v>
      </c>
      <c r="K40" s="66">
        <v>1.000462962962963E-3</v>
      </c>
      <c r="L40" s="67" t="s">
        <v>350</v>
      </c>
      <c r="M40" s="68">
        <v>1.0006481481481483E-3</v>
      </c>
      <c r="N40" s="65" t="s">
        <v>529</v>
      </c>
      <c r="O40" s="66">
        <v>1.0033449074074074E-3</v>
      </c>
      <c r="P40" s="67" t="s">
        <v>329</v>
      </c>
      <c r="Q40" s="68">
        <v>1.0063078703703703E-3</v>
      </c>
      <c r="R40" s="65" t="s">
        <v>348</v>
      </c>
      <c r="S40" s="66">
        <v>1.0065393518518518E-3</v>
      </c>
      <c r="T40" s="67" t="s">
        <v>542</v>
      </c>
      <c r="U40" s="68">
        <v>1.0066666666666668E-3</v>
      </c>
      <c r="V40" s="65" t="s">
        <v>497</v>
      </c>
      <c r="W40" s="66">
        <v>1.0073611111111112E-3</v>
      </c>
      <c r="X40" s="67" t="s">
        <v>418</v>
      </c>
      <c r="Y40" s="68">
        <v>1.0081712962962963E-3</v>
      </c>
      <c r="Z40" s="65" t="s">
        <v>365</v>
      </c>
      <c r="AA40" s="66">
        <v>1.0081944444444444E-3</v>
      </c>
      <c r="AB40" s="67" t="s">
        <v>349</v>
      </c>
      <c r="AC40" s="68">
        <v>1.0082175925925925E-3</v>
      </c>
      <c r="AD40" s="65" t="s">
        <v>369</v>
      </c>
      <c r="AE40" s="66">
        <v>1.0101273148148148E-3</v>
      </c>
      <c r="AF40" s="67" t="s">
        <v>63</v>
      </c>
      <c r="AG40" s="68">
        <v>1.0118518518518519E-3</v>
      </c>
      <c r="AH40" s="65" t="s">
        <v>481</v>
      </c>
      <c r="AI40" s="66">
        <v>1.0132407407407408E-3</v>
      </c>
      <c r="AJ40" s="67" t="s">
        <v>347</v>
      </c>
      <c r="AK40" s="68">
        <v>1.0138657407407407E-3</v>
      </c>
      <c r="AL40" s="65" t="s">
        <v>549</v>
      </c>
      <c r="AM40" s="66">
        <v>1.0308449074074074E-3</v>
      </c>
      <c r="AN40" s="67" t="s">
        <v>528</v>
      </c>
      <c r="AO40" s="68">
        <v>1.0353009259259258E-3</v>
      </c>
      <c r="AP40" s="65" t="s">
        <v>73</v>
      </c>
      <c r="AQ40" s="66" t="s">
        <v>73</v>
      </c>
      <c r="AR40" s="67" t="s">
        <v>73</v>
      </c>
      <c r="AS40" s="68" t="s">
        <v>73</v>
      </c>
    </row>
    <row r="41" spans="1:46" ht="15" customHeight="1" thickBot="1" x14ac:dyDescent="0.25">
      <c r="A41" s="75" t="s">
        <v>157</v>
      </c>
      <c r="B41" s="71" t="s">
        <v>350</v>
      </c>
      <c r="C41" s="72">
        <v>9.848726851851852E-4</v>
      </c>
      <c r="D41" s="71" t="s">
        <v>66</v>
      </c>
      <c r="E41" s="73">
        <v>9.8494212962962967E-4</v>
      </c>
      <c r="F41" s="71" t="s">
        <v>500</v>
      </c>
      <c r="G41" s="72">
        <v>9.8578703703703697E-4</v>
      </c>
      <c r="H41" s="71" t="s">
        <v>390</v>
      </c>
      <c r="I41" s="73">
        <v>9.8699074074074075E-4</v>
      </c>
      <c r="J41" s="71" t="s">
        <v>496</v>
      </c>
      <c r="K41" s="72">
        <v>9.9062499999999997E-4</v>
      </c>
      <c r="L41" s="71" t="s">
        <v>67</v>
      </c>
      <c r="M41" s="73">
        <v>9.9290509259259275E-4</v>
      </c>
      <c r="N41" s="71" t="s">
        <v>348</v>
      </c>
      <c r="O41" s="72">
        <v>9.9747685185185182E-4</v>
      </c>
      <c r="P41" s="71" t="s">
        <v>529</v>
      </c>
      <c r="Q41" s="73">
        <v>9.9796296296296287E-4</v>
      </c>
      <c r="R41" s="71" t="s">
        <v>542</v>
      </c>
      <c r="S41" s="72">
        <v>9.993634259259259E-4</v>
      </c>
      <c r="T41" s="71" t="s">
        <v>329</v>
      </c>
      <c r="U41" s="73">
        <v>9.9983796296296301E-4</v>
      </c>
      <c r="V41" s="71" t="s">
        <v>497</v>
      </c>
      <c r="W41" s="72">
        <v>1.001377314814815E-3</v>
      </c>
      <c r="X41" s="71" t="s">
        <v>63</v>
      </c>
      <c r="Y41" s="73">
        <v>1.0016898148148148E-3</v>
      </c>
      <c r="Z41" s="71" t="s">
        <v>418</v>
      </c>
      <c r="AA41" s="72">
        <v>1.0020601851851853E-3</v>
      </c>
      <c r="AB41" s="71" t="s">
        <v>349</v>
      </c>
      <c r="AC41" s="73">
        <v>1.0041319444444444E-3</v>
      </c>
      <c r="AD41" s="71" t="s">
        <v>347</v>
      </c>
      <c r="AE41" s="72">
        <v>1.0061111111111111E-3</v>
      </c>
      <c r="AF41" s="71" t="s">
        <v>369</v>
      </c>
      <c r="AG41" s="73">
        <v>1.0030324074074073E-3</v>
      </c>
      <c r="AH41" s="71" t="s">
        <v>365</v>
      </c>
      <c r="AI41" s="72">
        <v>1.0037152777777776E-3</v>
      </c>
      <c r="AJ41" s="71" t="s">
        <v>481</v>
      </c>
      <c r="AK41" s="73">
        <v>1.0041898148148147E-3</v>
      </c>
      <c r="AL41" s="71" t="s">
        <v>549</v>
      </c>
      <c r="AM41" s="72">
        <v>1.0160763888888888E-3</v>
      </c>
      <c r="AN41" s="71" t="s">
        <v>528</v>
      </c>
      <c r="AO41" s="73">
        <v>1.0214930555555557E-3</v>
      </c>
      <c r="AP41" s="71" t="s">
        <v>73</v>
      </c>
      <c r="AQ41" s="72" t="s">
        <v>73</v>
      </c>
      <c r="AR41" s="71" t="s">
        <v>73</v>
      </c>
      <c r="AS41" s="73" t="s">
        <v>73</v>
      </c>
      <c r="AT41" s="115">
        <v>1.0562152777777777E-3</v>
      </c>
    </row>
    <row r="42" spans="1:46" ht="15" customHeight="1" x14ac:dyDescent="0.2">
      <c r="A42" s="64" t="s">
        <v>158</v>
      </c>
      <c r="B42" s="65" t="s">
        <v>67</v>
      </c>
      <c r="C42" s="66">
        <v>8.5663194444444448E-4</v>
      </c>
      <c r="D42" s="67" t="s">
        <v>500</v>
      </c>
      <c r="E42" s="68">
        <v>8.5958333333333329E-4</v>
      </c>
      <c r="F42" s="65" t="s">
        <v>66</v>
      </c>
      <c r="G42" s="66">
        <v>8.6012731481481487E-4</v>
      </c>
      <c r="H42" s="67" t="s">
        <v>390</v>
      </c>
      <c r="I42" s="68">
        <v>8.6030092592592592E-4</v>
      </c>
      <c r="J42" s="65" t="s">
        <v>350</v>
      </c>
      <c r="K42" s="66">
        <v>8.6412037037037024E-4</v>
      </c>
      <c r="L42" s="67" t="s">
        <v>496</v>
      </c>
      <c r="M42" s="68">
        <v>8.6589120370370368E-4</v>
      </c>
      <c r="N42" s="65" t="s">
        <v>418</v>
      </c>
      <c r="O42" s="66">
        <v>8.6877314814814814E-4</v>
      </c>
      <c r="P42" s="67" t="s">
        <v>349</v>
      </c>
      <c r="Q42" s="68">
        <v>8.6891203703703707E-4</v>
      </c>
      <c r="R42" s="65" t="s">
        <v>481</v>
      </c>
      <c r="S42" s="66">
        <v>8.7026620370370372E-4</v>
      </c>
      <c r="T42" s="67" t="s">
        <v>348</v>
      </c>
      <c r="U42" s="68">
        <v>8.7461805555555557E-4</v>
      </c>
      <c r="V42" s="65" t="s">
        <v>347</v>
      </c>
      <c r="W42" s="66">
        <v>8.750462962962964E-4</v>
      </c>
      <c r="X42" s="67" t="s">
        <v>529</v>
      </c>
      <c r="Y42" s="68">
        <v>8.7518518518518512E-4</v>
      </c>
      <c r="Z42" s="65" t="s">
        <v>369</v>
      </c>
      <c r="AA42" s="66">
        <v>8.7684027777777771E-4</v>
      </c>
      <c r="AB42" s="67" t="s">
        <v>365</v>
      </c>
      <c r="AC42" s="68">
        <v>8.7703703703703696E-4</v>
      </c>
      <c r="AD42" s="65" t="s">
        <v>542</v>
      </c>
      <c r="AE42" s="66">
        <v>8.7704861111111111E-4</v>
      </c>
      <c r="AF42" s="67" t="s">
        <v>329</v>
      </c>
      <c r="AG42" s="68">
        <v>8.7758101851851842E-4</v>
      </c>
      <c r="AH42" s="65" t="s">
        <v>63</v>
      </c>
      <c r="AI42" s="66">
        <v>8.7908564814814804E-4</v>
      </c>
      <c r="AJ42" s="67" t="s">
        <v>497</v>
      </c>
      <c r="AK42" s="68">
        <v>8.8405092592592582E-4</v>
      </c>
      <c r="AL42" s="65" t="s">
        <v>528</v>
      </c>
      <c r="AM42" s="66">
        <v>8.8609953703703713E-4</v>
      </c>
      <c r="AN42" s="67" t="s">
        <v>549</v>
      </c>
      <c r="AO42" s="68">
        <v>8.9266203703703719E-4</v>
      </c>
      <c r="AP42" s="65" t="s">
        <v>73</v>
      </c>
      <c r="AQ42" s="66" t="s">
        <v>73</v>
      </c>
      <c r="AR42" s="67" t="s">
        <v>73</v>
      </c>
      <c r="AS42" s="68" t="s">
        <v>73</v>
      </c>
    </row>
    <row r="43" spans="1:46" ht="15" customHeight="1" x14ac:dyDescent="0.2">
      <c r="A43" s="69" t="s">
        <v>159</v>
      </c>
      <c r="B43" s="65" t="s">
        <v>500</v>
      </c>
      <c r="C43" s="66">
        <v>8.5010416666666665E-4</v>
      </c>
      <c r="D43" s="67" t="s">
        <v>67</v>
      </c>
      <c r="E43" s="68">
        <v>8.5153935185185191E-4</v>
      </c>
      <c r="F43" s="65" t="s">
        <v>66</v>
      </c>
      <c r="G43" s="66">
        <v>8.5179398148148148E-4</v>
      </c>
      <c r="H43" s="67" t="s">
        <v>350</v>
      </c>
      <c r="I43" s="68">
        <v>8.5776620370370358E-4</v>
      </c>
      <c r="J43" s="65" t="s">
        <v>390</v>
      </c>
      <c r="K43" s="66">
        <v>8.5802083333333336E-4</v>
      </c>
      <c r="L43" s="67" t="s">
        <v>349</v>
      </c>
      <c r="M43" s="68">
        <v>8.5855324074074078E-4</v>
      </c>
      <c r="N43" s="65" t="s">
        <v>481</v>
      </c>
      <c r="O43" s="66">
        <v>8.5958333333333329E-4</v>
      </c>
      <c r="P43" s="67" t="s">
        <v>63</v>
      </c>
      <c r="Q43" s="68">
        <v>8.6178240740740735E-4</v>
      </c>
      <c r="R43" s="65" t="s">
        <v>329</v>
      </c>
      <c r="S43" s="66">
        <v>8.6194444444444459E-4</v>
      </c>
      <c r="T43" s="67" t="s">
        <v>347</v>
      </c>
      <c r="U43" s="68">
        <v>8.6247685185185179E-4</v>
      </c>
      <c r="V43" s="65" t="s">
        <v>418</v>
      </c>
      <c r="W43" s="66">
        <v>8.6414351851851843E-4</v>
      </c>
      <c r="X43" s="67" t="s">
        <v>365</v>
      </c>
      <c r="Y43" s="68">
        <v>8.6574074074074071E-4</v>
      </c>
      <c r="Z43" s="65" t="s">
        <v>348</v>
      </c>
      <c r="AA43" s="66">
        <v>8.6817129629629625E-4</v>
      </c>
      <c r="AB43" s="67" t="s">
        <v>542</v>
      </c>
      <c r="AC43" s="68">
        <v>8.6877314814814814E-4</v>
      </c>
      <c r="AD43" s="65" t="s">
        <v>496</v>
      </c>
      <c r="AE43" s="66">
        <v>8.6908564814814802E-4</v>
      </c>
      <c r="AF43" s="67" t="s">
        <v>529</v>
      </c>
      <c r="AG43" s="68">
        <v>8.7091435185185178E-4</v>
      </c>
      <c r="AH43" s="65" t="s">
        <v>497</v>
      </c>
      <c r="AI43" s="66">
        <v>8.7275462962962957E-4</v>
      </c>
      <c r="AJ43" s="67" t="s">
        <v>369</v>
      </c>
      <c r="AK43" s="68">
        <v>8.734953703703704E-4</v>
      </c>
      <c r="AL43" s="65" t="s">
        <v>549</v>
      </c>
      <c r="AM43" s="66">
        <v>8.9004629629629633E-4</v>
      </c>
      <c r="AN43" s="67" t="s">
        <v>528</v>
      </c>
      <c r="AO43" s="68">
        <v>8.9097222222222214E-4</v>
      </c>
      <c r="AP43" s="65" t="s">
        <v>73</v>
      </c>
      <c r="AQ43" s="66" t="s">
        <v>73</v>
      </c>
      <c r="AR43" s="67" t="s">
        <v>73</v>
      </c>
      <c r="AS43" s="68" t="s">
        <v>73</v>
      </c>
    </row>
    <row r="44" spans="1:46" ht="15" customHeight="1" thickBot="1" x14ac:dyDescent="0.25">
      <c r="A44" s="69" t="s">
        <v>160</v>
      </c>
      <c r="B44" s="65" t="s">
        <v>500</v>
      </c>
      <c r="C44" s="66">
        <v>8.377314814814814E-4</v>
      </c>
      <c r="D44" s="67" t="s">
        <v>390</v>
      </c>
      <c r="E44" s="68">
        <v>8.3967592592592601E-4</v>
      </c>
      <c r="F44" s="65" t="s">
        <v>67</v>
      </c>
      <c r="G44" s="66">
        <v>8.4078703703703702E-4</v>
      </c>
      <c r="H44" s="67" t="s">
        <v>350</v>
      </c>
      <c r="I44" s="68">
        <v>8.4363425925925936E-4</v>
      </c>
      <c r="J44" s="65" t="s">
        <v>369</v>
      </c>
      <c r="K44" s="66">
        <v>8.4366898148148137E-4</v>
      </c>
      <c r="L44" s="67" t="s">
        <v>66</v>
      </c>
      <c r="M44" s="68">
        <v>8.4450231481481485E-4</v>
      </c>
      <c r="N44" s="65" t="s">
        <v>418</v>
      </c>
      <c r="O44" s="66">
        <v>8.4865740740740735E-4</v>
      </c>
      <c r="P44" s="67" t="s">
        <v>496</v>
      </c>
      <c r="Q44" s="68">
        <v>8.4865740740740735E-4</v>
      </c>
      <c r="R44" s="65" t="s">
        <v>63</v>
      </c>
      <c r="S44" s="66">
        <v>8.4896990740740733E-4</v>
      </c>
      <c r="T44" s="67" t="s">
        <v>349</v>
      </c>
      <c r="U44" s="68">
        <v>8.4928240740740754E-4</v>
      </c>
      <c r="V44" s="65" t="s">
        <v>347</v>
      </c>
      <c r="W44" s="66">
        <v>8.5041666666666653E-4</v>
      </c>
      <c r="X44" s="67" t="s">
        <v>329</v>
      </c>
      <c r="Y44" s="68">
        <v>8.5064814814814823E-4</v>
      </c>
      <c r="Z44" s="65" t="s">
        <v>542</v>
      </c>
      <c r="AA44" s="66">
        <v>8.5131944444444448E-4</v>
      </c>
      <c r="AB44" s="67" t="s">
        <v>529</v>
      </c>
      <c r="AC44" s="68">
        <v>8.5134259259259267E-4</v>
      </c>
      <c r="AD44" s="65" t="s">
        <v>497</v>
      </c>
      <c r="AE44" s="66">
        <v>8.5267361111111123E-4</v>
      </c>
      <c r="AF44" s="67" t="s">
        <v>481</v>
      </c>
      <c r="AG44" s="68">
        <v>8.5268518518518516E-4</v>
      </c>
      <c r="AH44" s="65" t="s">
        <v>365</v>
      </c>
      <c r="AI44" s="66">
        <v>8.5378472222222225E-4</v>
      </c>
      <c r="AJ44" s="67" t="s">
        <v>348</v>
      </c>
      <c r="AK44" s="68">
        <v>8.543518518518518E-4</v>
      </c>
      <c r="AL44" s="65" t="s">
        <v>528</v>
      </c>
      <c r="AM44" s="66">
        <v>8.7430555555555558E-4</v>
      </c>
      <c r="AN44" s="67" t="s">
        <v>549</v>
      </c>
      <c r="AO44" s="68">
        <v>8.7759259259259257E-4</v>
      </c>
      <c r="AP44" s="65" t="s">
        <v>73</v>
      </c>
      <c r="AQ44" s="66" t="s">
        <v>73</v>
      </c>
      <c r="AR44" s="67" t="s">
        <v>73</v>
      </c>
      <c r="AS44" s="68" t="s">
        <v>73</v>
      </c>
    </row>
    <row r="45" spans="1:46" ht="15" customHeight="1" thickBot="1" x14ac:dyDescent="0.25">
      <c r="A45" s="75" t="s">
        <v>161</v>
      </c>
      <c r="B45" s="71" t="s">
        <v>66</v>
      </c>
      <c r="C45" s="72">
        <v>8.3063657407407402E-4</v>
      </c>
      <c r="D45" s="71" t="s">
        <v>390</v>
      </c>
      <c r="E45" s="73">
        <v>8.3464120370370376E-4</v>
      </c>
      <c r="F45" s="71" t="s">
        <v>350</v>
      </c>
      <c r="G45" s="72">
        <v>8.3482638888888886E-4</v>
      </c>
      <c r="H45" s="71" t="s">
        <v>496</v>
      </c>
      <c r="I45" s="73">
        <v>8.3937499999999995E-4</v>
      </c>
      <c r="J45" s="71" t="s">
        <v>63</v>
      </c>
      <c r="K45" s="72">
        <v>8.3956018518518527E-4</v>
      </c>
      <c r="L45" s="71" t="s">
        <v>349</v>
      </c>
      <c r="M45" s="73">
        <v>8.4318287037037044E-4</v>
      </c>
      <c r="N45" s="71" t="s">
        <v>418</v>
      </c>
      <c r="O45" s="72">
        <v>8.4371527777777776E-4</v>
      </c>
      <c r="P45" s="71" t="s">
        <v>347</v>
      </c>
      <c r="Q45" s="73">
        <v>8.4565972222222236E-4</v>
      </c>
      <c r="R45" s="71" t="s">
        <v>329</v>
      </c>
      <c r="S45" s="72">
        <v>8.4636574074074085E-4</v>
      </c>
      <c r="T45" s="71" t="s">
        <v>500</v>
      </c>
      <c r="U45" s="73" t="s">
        <v>73</v>
      </c>
      <c r="V45" s="71" t="s">
        <v>497</v>
      </c>
      <c r="W45" s="72">
        <v>8.4243055555555558E-4</v>
      </c>
      <c r="X45" s="71" t="s">
        <v>369</v>
      </c>
      <c r="Y45" s="73">
        <v>8.4246527777777781E-4</v>
      </c>
      <c r="Z45" s="71" t="s">
        <v>348</v>
      </c>
      <c r="AA45" s="72">
        <v>8.4258101851851844E-4</v>
      </c>
      <c r="AB45" s="71" t="s">
        <v>365</v>
      </c>
      <c r="AC45" s="73">
        <v>8.4646990740740733E-4</v>
      </c>
      <c r="AD45" s="71" t="s">
        <v>481</v>
      </c>
      <c r="AE45" s="72">
        <v>8.5011574074074069E-4</v>
      </c>
      <c r="AF45" s="71" t="s">
        <v>529</v>
      </c>
      <c r="AG45" s="73">
        <v>8.4876157407407415E-4</v>
      </c>
      <c r="AH45" s="71" t="s">
        <v>542</v>
      </c>
      <c r="AI45" s="72">
        <v>8.5024305555555558E-4</v>
      </c>
      <c r="AJ45" s="71" t="s">
        <v>549</v>
      </c>
      <c r="AK45" s="73">
        <v>8.6482638888888883E-4</v>
      </c>
      <c r="AL45" s="71" t="s">
        <v>528</v>
      </c>
      <c r="AM45" s="72">
        <v>8.6619212962962963E-4</v>
      </c>
      <c r="AN45" s="71" t="s">
        <v>67</v>
      </c>
      <c r="AO45" s="73" t="s">
        <v>73</v>
      </c>
      <c r="AP45" s="71" t="s">
        <v>73</v>
      </c>
      <c r="AQ45" s="72" t="s">
        <v>73</v>
      </c>
      <c r="AR45" s="71" t="s">
        <v>73</v>
      </c>
      <c r="AS45" s="73" t="s">
        <v>73</v>
      </c>
      <c r="AT45" s="115">
        <v>8.9450231481481466E-4</v>
      </c>
    </row>
    <row r="46" spans="1:46" ht="15" customHeight="1" x14ac:dyDescent="0.2">
      <c r="A46" s="64" t="s">
        <v>162</v>
      </c>
      <c r="B46" s="65" t="s">
        <v>66</v>
      </c>
      <c r="C46" s="66">
        <v>8.9390046296296299E-4</v>
      </c>
      <c r="D46" s="67" t="s">
        <v>390</v>
      </c>
      <c r="E46" s="68">
        <v>8.9581018518518525E-4</v>
      </c>
      <c r="F46" s="65" t="s">
        <v>67</v>
      </c>
      <c r="G46" s="66">
        <v>8.9582175925925929E-4</v>
      </c>
      <c r="H46" s="67" t="s">
        <v>496</v>
      </c>
      <c r="I46" s="68">
        <v>8.9909722222222214E-4</v>
      </c>
      <c r="J46" s="65" t="s">
        <v>369</v>
      </c>
      <c r="K46" s="66">
        <v>9.0210648148148149E-4</v>
      </c>
      <c r="L46" s="67" t="s">
        <v>500</v>
      </c>
      <c r="M46" s="68">
        <v>9.0495370370370371E-4</v>
      </c>
      <c r="N46" s="65" t="s">
        <v>329</v>
      </c>
      <c r="O46" s="66">
        <v>9.0760416666666669E-4</v>
      </c>
      <c r="P46" s="67" t="s">
        <v>529</v>
      </c>
      <c r="Q46" s="68">
        <v>9.0892361111111122E-4</v>
      </c>
      <c r="R46" s="65" t="s">
        <v>418</v>
      </c>
      <c r="S46" s="66">
        <v>9.1090277777777784E-4</v>
      </c>
      <c r="T46" s="67" t="s">
        <v>63</v>
      </c>
      <c r="U46" s="68">
        <v>9.1188657407407408E-4</v>
      </c>
      <c r="V46" s="65" t="s">
        <v>348</v>
      </c>
      <c r="W46" s="66">
        <v>9.1312499999999998E-4</v>
      </c>
      <c r="X46" s="67" t="s">
        <v>349</v>
      </c>
      <c r="Y46" s="68">
        <v>9.1403935185185175E-4</v>
      </c>
      <c r="Z46" s="65" t="s">
        <v>365</v>
      </c>
      <c r="AA46" s="66">
        <v>9.1414351851851856E-4</v>
      </c>
      <c r="AB46" s="67" t="s">
        <v>542</v>
      </c>
      <c r="AC46" s="68">
        <v>9.1693287037037036E-4</v>
      </c>
      <c r="AD46" s="65" t="s">
        <v>347</v>
      </c>
      <c r="AE46" s="66">
        <v>9.1811342592592595E-4</v>
      </c>
      <c r="AF46" s="67" t="s">
        <v>497</v>
      </c>
      <c r="AG46" s="68">
        <v>9.1999999999999992E-4</v>
      </c>
      <c r="AH46" s="65" t="s">
        <v>549</v>
      </c>
      <c r="AI46" s="66">
        <v>9.2186342592592591E-4</v>
      </c>
      <c r="AJ46" s="67" t="s">
        <v>481</v>
      </c>
      <c r="AK46" s="68">
        <v>9.2270833333333343E-4</v>
      </c>
      <c r="AL46" s="65" t="s">
        <v>528</v>
      </c>
      <c r="AM46" s="66">
        <v>9.2965277777777783E-4</v>
      </c>
      <c r="AN46" s="67" t="s">
        <v>350</v>
      </c>
      <c r="AO46" s="68" t="s">
        <v>73</v>
      </c>
      <c r="AP46" s="65" t="s">
        <v>73</v>
      </c>
      <c r="AQ46" s="66" t="s">
        <v>73</v>
      </c>
      <c r="AR46" s="67" t="s">
        <v>73</v>
      </c>
      <c r="AS46" s="68" t="s">
        <v>73</v>
      </c>
    </row>
    <row r="47" spans="1:46" ht="15.75" customHeight="1" x14ac:dyDescent="0.2">
      <c r="A47" s="69" t="s">
        <v>163</v>
      </c>
      <c r="B47" s="65" t="s">
        <v>496</v>
      </c>
      <c r="C47" s="66">
        <v>9.0108796296296291E-4</v>
      </c>
      <c r="D47" s="67" t="s">
        <v>390</v>
      </c>
      <c r="E47" s="68">
        <v>9.0172453703703714E-4</v>
      </c>
      <c r="F47" s="65" t="s">
        <v>66</v>
      </c>
      <c r="G47" s="66">
        <v>9.0271990740740731E-4</v>
      </c>
      <c r="H47" s="67" t="s">
        <v>350</v>
      </c>
      <c r="I47" s="68">
        <v>9.0490740740740733E-4</v>
      </c>
      <c r="J47" s="65" t="s">
        <v>348</v>
      </c>
      <c r="K47" s="66">
        <v>9.0968749999999991E-4</v>
      </c>
      <c r="L47" s="67" t="s">
        <v>63</v>
      </c>
      <c r="M47" s="68">
        <v>9.1067129629629625E-4</v>
      </c>
      <c r="N47" s="65" t="s">
        <v>500</v>
      </c>
      <c r="O47" s="66">
        <v>9.1263888888888894E-4</v>
      </c>
      <c r="P47" s="67" t="s">
        <v>329</v>
      </c>
      <c r="Q47" s="68">
        <v>9.131018518518519E-4</v>
      </c>
      <c r="R47" s="65" t="s">
        <v>497</v>
      </c>
      <c r="S47" s="66">
        <v>9.1329861111111115E-4</v>
      </c>
      <c r="T47" s="67" t="s">
        <v>365</v>
      </c>
      <c r="U47" s="68">
        <v>9.1385416666666666E-4</v>
      </c>
      <c r="V47" s="65" t="s">
        <v>349</v>
      </c>
      <c r="W47" s="66">
        <v>9.1607638888888891E-4</v>
      </c>
      <c r="X47" s="67" t="s">
        <v>369</v>
      </c>
      <c r="Y47" s="68">
        <v>9.2337962962962979E-4</v>
      </c>
      <c r="Z47" s="65" t="s">
        <v>67</v>
      </c>
      <c r="AA47" s="66">
        <v>9.1729166666666662E-4</v>
      </c>
      <c r="AB47" s="67" t="s">
        <v>418</v>
      </c>
      <c r="AC47" s="68">
        <v>9.1895833333333326E-4</v>
      </c>
      <c r="AD47" s="65" t="s">
        <v>347</v>
      </c>
      <c r="AE47" s="66">
        <v>9.2269675925925928E-4</v>
      </c>
      <c r="AF47" s="67" t="s">
        <v>481</v>
      </c>
      <c r="AG47" s="68">
        <v>9.2331018518518511E-4</v>
      </c>
      <c r="AH47" s="65" t="s">
        <v>549</v>
      </c>
      <c r="AI47" s="66">
        <v>9.2464120370370367E-4</v>
      </c>
      <c r="AJ47" s="67" t="s">
        <v>529</v>
      </c>
      <c r="AK47" s="68">
        <v>9.305671296296296E-4</v>
      </c>
      <c r="AL47" s="65" t="s">
        <v>528</v>
      </c>
      <c r="AM47" s="66">
        <v>9.3100694444444448E-4</v>
      </c>
      <c r="AN47" s="67" t="s">
        <v>542</v>
      </c>
      <c r="AO47" s="68" t="s">
        <v>73</v>
      </c>
      <c r="AP47" s="65" t="s">
        <v>73</v>
      </c>
      <c r="AQ47" s="66" t="s">
        <v>73</v>
      </c>
      <c r="AR47" s="67" t="s">
        <v>73</v>
      </c>
      <c r="AS47" s="68" t="s">
        <v>73</v>
      </c>
    </row>
    <row r="48" spans="1:46" ht="15" customHeight="1" thickBot="1" x14ac:dyDescent="0.25">
      <c r="A48" s="69" t="s">
        <v>164</v>
      </c>
      <c r="B48" s="65" t="s">
        <v>66</v>
      </c>
      <c r="C48" s="66">
        <v>8.8060185185185192E-4</v>
      </c>
      <c r="D48" s="67" t="s">
        <v>390</v>
      </c>
      <c r="E48" s="68">
        <v>8.8075231481481479E-4</v>
      </c>
      <c r="F48" s="65" t="s">
        <v>67</v>
      </c>
      <c r="G48" s="66">
        <v>8.8155092592592593E-4</v>
      </c>
      <c r="H48" s="67" t="s">
        <v>350</v>
      </c>
      <c r="I48" s="68">
        <v>8.8373842592592595E-4</v>
      </c>
      <c r="J48" s="65" t="s">
        <v>500</v>
      </c>
      <c r="K48" s="66">
        <v>8.8416666666666678E-4</v>
      </c>
      <c r="L48" s="67" t="s">
        <v>496</v>
      </c>
      <c r="M48" s="68">
        <v>8.8754629629629633E-4</v>
      </c>
      <c r="N48" s="65" t="s">
        <v>529</v>
      </c>
      <c r="O48" s="66">
        <v>8.8858796296296299E-4</v>
      </c>
      <c r="P48" s="67" t="s">
        <v>63</v>
      </c>
      <c r="Q48" s="68">
        <v>8.9370370370370374E-4</v>
      </c>
      <c r="R48" s="65" t="s">
        <v>418</v>
      </c>
      <c r="S48" s="66">
        <v>8.9371527777777789E-4</v>
      </c>
      <c r="T48" s="67" t="s">
        <v>369</v>
      </c>
      <c r="U48" s="68">
        <v>8.9386574074074075E-4</v>
      </c>
      <c r="V48" s="65" t="s">
        <v>349</v>
      </c>
      <c r="W48" s="66">
        <v>8.9459490740740732E-4</v>
      </c>
      <c r="X48" s="67" t="s">
        <v>365</v>
      </c>
      <c r="Y48" s="68">
        <v>8.9620370370370375E-4</v>
      </c>
      <c r="Z48" s="65" t="s">
        <v>329</v>
      </c>
      <c r="AA48" s="66">
        <v>8.9892361111111119E-4</v>
      </c>
      <c r="AB48" s="67" t="s">
        <v>347</v>
      </c>
      <c r="AC48" s="68">
        <v>8.9895833333333332E-4</v>
      </c>
      <c r="AD48" s="65" t="s">
        <v>497</v>
      </c>
      <c r="AE48" s="66">
        <v>9.0195601851851851E-4</v>
      </c>
      <c r="AF48" s="67" t="s">
        <v>348</v>
      </c>
      <c r="AG48" s="68">
        <v>9.0233796296296297E-4</v>
      </c>
      <c r="AH48" s="65" t="s">
        <v>542</v>
      </c>
      <c r="AI48" s="66">
        <v>9.0305555555555549E-4</v>
      </c>
      <c r="AJ48" s="67" t="s">
        <v>549</v>
      </c>
      <c r="AK48" s="68">
        <v>9.0361111111111111E-4</v>
      </c>
      <c r="AL48" s="65" t="s">
        <v>481</v>
      </c>
      <c r="AM48" s="66">
        <v>9.0895833333333323E-4</v>
      </c>
      <c r="AN48" s="67" t="s">
        <v>528</v>
      </c>
      <c r="AO48" s="68">
        <v>9.1098379629629635E-4</v>
      </c>
      <c r="AP48" s="65" t="s">
        <v>73</v>
      </c>
      <c r="AQ48" s="66" t="s">
        <v>73</v>
      </c>
      <c r="AR48" s="67" t="s">
        <v>73</v>
      </c>
      <c r="AS48" s="68" t="s">
        <v>73</v>
      </c>
    </row>
    <row r="49" spans="1:47" ht="15" customHeight="1" thickBot="1" x14ac:dyDescent="0.25">
      <c r="A49" s="75" t="s">
        <v>165</v>
      </c>
      <c r="B49" s="71" t="s">
        <v>390</v>
      </c>
      <c r="C49" s="72">
        <v>8.6310185185185177E-4</v>
      </c>
      <c r="D49" s="71" t="s">
        <v>350</v>
      </c>
      <c r="E49" s="73">
        <v>8.6331018518518527E-4</v>
      </c>
      <c r="F49" s="71" t="s">
        <v>66</v>
      </c>
      <c r="G49" s="72">
        <v>8.6538194444444455E-4</v>
      </c>
      <c r="H49" s="71" t="s">
        <v>500</v>
      </c>
      <c r="I49" s="73">
        <v>8.6855324074074081E-4</v>
      </c>
      <c r="J49" s="71" t="s">
        <v>67</v>
      </c>
      <c r="K49" s="72">
        <v>8.6887731481481484E-4</v>
      </c>
      <c r="L49" s="71" t="s">
        <v>496</v>
      </c>
      <c r="M49" s="73">
        <v>8.7326388888888903E-4</v>
      </c>
      <c r="N49" s="71" t="s">
        <v>529</v>
      </c>
      <c r="O49" s="72">
        <v>8.7731481481481482E-4</v>
      </c>
      <c r="P49" s="71" t="s">
        <v>418</v>
      </c>
      <c r="Q49" s="73">
        <v>8.779166666666666E-4</v>
      </c>
      <c r="R49" s="71" t="s">
        <v>349</v>
      </c>
      <c r="S49" s="72">
        <v>8.7978009259259259E-4</v>
      </c>
      <c r="T49" s="71" t="s">
        <v>63</v>
      </c>
      <c r="U49" s="73">
        <v>8.8010416666666662E-4</v>
      </c>
      <c r="V49" s="71" t="s">
        <v>329</v>
      </c>
      <c r="W49" s="72">
        <v>8.8616898148148138E-4</v>
      </c>
      <c r="X49" s="71" t="s">
        <v>542</v>
      </c>
      <c r="Y49" s="73">
        <v>8.8758101851851845E-4</v>
      </c>
      <c r="Z49" s="71" t="s">
        <v>365</v>
      </c>
      <c r="AA49" s="72">
        <v>8.8763888888888887E-4</v>
      </c>
      <c r="AB49" s="71" t="s">
        <v>497</v>
      </c>
      <c r="AC49" s="73">
        <v>8.8893518518518521E-4</v>
      </c>
      <c r="AD49" s="71" t="s">
        <v>369</v>
      </c>
      <c r="AE49" s="72">
        <v>8.9214120370370369E-4</v>
      </c>
      <c r="AF49" s="71" t="s">
        <v>549</v>
      </c>
      <c r="AG49" s="73">
        <v>8.9156249999999999E-4</v>
      </c>
      <c r="AH49" s="71" t="s">
        <v>347</v>
      </c>
      <c r="AI49" s="72">
        <v>8.9246527777777772E-4</v>
      </c>
      <c r="AJ49" s="71" t="s">
        <v>348</v>
      </c>
      <c r="AK49" s="73">
        <v>8.9417824074074063E-4</v>
      </c>
      <c r="AL49" s="71" t="s">
        <v>481</v>
      </c>
      <c r="AM49" s="72">
        <v>8.9747685185185189E-4</v>
      </c>
      <c r="AN49" s="71" t="s">
        <v>528</v>
      </c>
      <c r="AO49" s="73">
        <v>9.065277777777778E-4</v>
      </c>
      <c r="AP49" s="71" t="s">
        <v>73</v>
      </c>
      <c r="AQ49" s="72" t="s">
        <v>73</v>
      </c>
      <c r="AR49" s="71" t="s">
        <v>73</v>
      </c>
      <c r="AS49" s="73" t="s">
        <v>73</v>
      </c>
      <c r="AT49" s="115">
        <v>9.3893518518518512E-4</v>
      </c>
    </row>
    <row r="50" spans="1:47" ht="15" customHeight="1" x14ac:dyDescent="0.2">
      <c r="A50" s="64" t="s">
        <v>166</v>
      </c>
      <c r="B50" s="65" t="s">
        <v>67</v>
      </c>
      <c r="C50" s="66">
        <v>1.2103472222222222E-3</v>
      </c>
      <c r="D50" s="67" t="s">
        <v>500</v>
      </c>
      <c r="E50" s="68">
        <v>1.2128240740740741E-3</v>
      </c>
      <c r="F50" s="65" t="s">
        <v>390</v>
      </c>
      <c r="G50" s="66">
        <v>1.2211458333333332E-3</v>
      </c>
      <c r="H50" s="67" t="s">
        <v>705</v>
      </c>
      <c r="I50" s="68">
        <v>1.2220370370370371E-3</v>
      </c>
      <c r="J50" s="65" t="s">
        <v>350</v>
      </c>
      <c r="K50" s="66">
        <v>1.225486111111111E-3</v>
      </c>
      <c r="L50" s="67" t="s">
        <v>66</v>
      </c>
      <c r="M50" s="68">
        <v>1.2265393518518519E-3</v>
      </c>
      <c r="N50" s="65" t="s">
        <v>481</v>
      </c>
      <c r="O50" s="66">
        <v>1.2291435185185185E-3</v>
      </c>
      <c r="P50" s="67" t="s">
        <v>348</v>
      </c>
      <c r="Q50" s="68">
        <v>1.2317824074074073E-3</v>
      </c>
      <c r="R50" s="65" t="s">
        <v>347</v>
      </c>
      <c r="S50" s="66">
        <v>1.231863425925926E-3</v>
      </c>
      <c r="T50" s="67" t="s">
        <v>418</v>
      </c>
      <c r="U50" s="68">
        <v>1.233298611111111E-3</v>
      </c>
      <c r="V50" s="65" t="s">
        <v>329</v>
      </c>
      <c r="W50" s="66">
        <v>1.2345949074074073E-3</v>
      </c>
      <c r="X50" s="67" t="s">
        <v>529</v>
      </c>
      <c r="Y50" s="68">
        <v>1.2346064814814815E-3</v>
      </c>
      <c r="Z50" s="65" t="s">
        <v>63</v>
      </c>
      <c r="AA50" s="66">
        <v>1.2387037037037039E-3</v>
      </c>
      <c r="AB50" s="67" t="s">
        <v>349</v>
      </c>
      <c r="AC50" s="68">
        <v>1.240462962962963E-3</v>
      </c>
      <c r="AD50" s="65" t="s">
        <v>497</v>
      </c>
      <c r="AE50" s="66">
        <v>1.2422800925925924E-3</v>
      </c>
      <c r="AF50" s="67" t="s">
        <v>369</v>
      </c>
      <c r="AG50" s="68">
        <v>1.2440740740740739E-3</v>
      </c>
      <c r="AH50" s="65" t="s">
        <v>365</v>
      </c>
      <c r="AI50" s="66">
        <v>1.245787037037037E-3</v>
      </c>
      <c r="AJ50" s="67" t="s">
        <v>706</v>
      </c>
      <c r="AK50" s="68">
        <v>1.2496296296296298E-3</v>
      </c>
      <c r="AL50" s="65" t="s">
        <v>668</v>
      </c>
      <c r="AM50" s="66">
        <v>1.2590740740740741E-3</v>
      </c>
      <c r="AN50" s="67" t="s">
        <v>528</v>
      </c>
      <c r="AO50" s="68">
        <v>1.2611805555555555E-3</v>
      </c>
      <c r="AP50" s="65" t="s">
        <v>73</v>
      </c>
      <c r="AQ50" s="66" t="s">
        <v>73</v>
      </c>
      <c r="AR50" s="67" t="s">
        <v>73</v>
      </c>
      <c r="AS50" s="68" t="s">
        <v>73</v>
      </c>
    </row>
    <row r="51" spans="1:47" ht="15" customHeight="1" x14ac:dyDescent="0.2">
      <c r="A51" s="69" t="s">
        <v>167</v>
      </c>
      <c r="B51" s="65" t="s">
        <v>500</v>
      </c>
      <c r="C51" s="66">
        <v>1.2051273148148149E-3</v>
      </c>
      <c r="D51" s="67" t="s">
        <v>67</v>
      </c>
      <c r="E51" s="68">
        <v>1.2124189814814816E-3</v>
      </c>
      <c r="F51" s="65" t="s">
        <v>350</v>
      </c>
      <c r="G51" s="66">
        <v>1.2149189814814815E-3</v>
      </c>
      <c r="H51" s="67" t="s">
        <v>66</v>
      </c>
      <c r="I51" s="68">
        <v>1.2154513888888887E-3</v>
      </c>
      <c r="J51" s="65" t="s">
        <v>347</v>
      </c>
      <c r="K51" s="66">
        <v>1.2166319444444444E-3</v>
      </c>
      <c r="L51" s="67" t="s">
        <v>390</v>
      </c>
      <c r="M51" s="68">
        <v>1.2198379629629629E-3</v>
      </c>
      <c r="N51" s="65" t="s">
        <v>63</v>
      </c>
      <c r="O51" s="66">
        <v>1.2234722222222224E-3</v>
      </c>
      <c r="P51" s="67" t="s">
        <v>481</v>
      </c>
      <c r="Q51" s="68">
        <v>1.22375E-3</v>
      </c>
      <c r="R51" s="65" t="s">
        <v>348</v>
      </c>
      <c r="S51" s="66">
        <v>1.2237847222222222E-3</v>
      </c>
      <c r="T51" s="67" t="s">
        <v>705</v>
      </c>
      <c r="U51" s="68">
        <v>1.224201388888889E-3</v>
      </c>
      <c r="V51" s="65" t="s">
        <v>418</v>
      </c>
      <c r="W51" s="66">
        <v>1.2268402777777779E-3</v>
      </c>
      <c r="X51" s="67" t="s">
        <v>349</v>
      </c>
      <c r="Y51" s="68">
        <v>1.2282407407407407E-3</v>
      </c>
      <c r="Z51" s="65" t="s">
        <v>329</v>
      </c>
      <c r="AA51" s="66">
        <v>1.2292708333333333E-3</v>
      </c>
      <c r="AB51" s="67" t="s">
        <v>365</v>
      </c>
      <c r="AC51" s="68">
        <v>1.2293287037037036E-3</v>
      </c>
      <c r="AD51" s="65" t="s">
        <v>529</v>
      </c>
      <c r="AE51" s="66">
        <v>1.2298379629629632E-3</v>
      </c>
      <c r="AF51" s="67" t="s">
        <v>497</v>
      </c>
      <c r="AG51" s="68">
        <v>1.230648148148148E-3</v>
      </c>
      <c r="AH51" s="65" t="s">
        <v>706</v>
      </c>
      <c r="AI51" s="66">
        <v>1.2311805555555555E-3</v>
      </c>
      <c r="AJ51" s="67" t="s">
        <v>369</v>
      </c>
      <c r="AK51" s="68">
        <v>1.2314699074074075E-3</v>
      </c>
      <c r="AL51" s="65" t="s">
        <v>549</v>
      </c>
      <c r="AM51" s="66">
        <v>1.2486921296296295E-3</v>
      </c>
      <c r="AN51" s="67" t="s">
        <v>528</v>
      </c>
      <c r="AO51" s="68">
        <v>1.2538310185185185E-3</v>
      </c>
      <c r="AP51" s="65" t="s">
        <v>73</v>
      </c>
      <c r="AQ51" s="66" t="s">
        <v>73</v>
      </c>
      <c r="AR51" s="67" t="s">
        <v>73</v>
      </c>
      <c r="AS51" s="68" t="s">
        <v>73</v>
      </c>
    </row>
    <row r="52" spans="1:47" ht="15" customHeight="1" thickBot="1" x14ac:dyDescent="0.25">
      <c r="A52" s="69" t="s">
        <v>168</v>
      </c>
      <c r="B52" s="65" t="s">
        <v>500</v>
      </c>
      <c r="C52" s="66">
        <v>1.2060879629629628E-3</v>
      </c>
      <c r="D52" s="67" t="s">
        <v>67</v>
      </c>
      <c r="E52" s="68">
        <v>1.2113078703703702E-3</v>
      </c>
      <c r="F52" s="65" t="s">
        <v>350</v>
      </c>
      <c r="G52" s="66">
        <v>1.2118402777777778E-3</v>
      </c>
      <c r="H52" s="67" t="s">
        <v>348</v>
      </c>
      <c r="I52" s="68">
        <v>1.2149768518518519E-3</v>
      </c>
      <c r="J52" s="65" t="s">
        <v>390</v>
      </c>
      <c r="K52" s="66">
        <v>1.2188888888888889E-3</v>
      </c>
      <c r="L52" s="67" t="s">
        <v>347</v>
      </c>
      <c r="M52" s="68">
        <v>1.2213078703703704E-3</v>
      </c>
      <c r="N52" s="65" t="s">
        <v>66</v>
      </c>
      <c r="O52" s="66">
        <v>1.2218287037037037E-3</v>
      </c>
      <c r="P52" s="67" t="s">
        <v>63</v>
      </c>
      <c r="Q52" s="68">
        <v>1.2229050925925925E-3</v>
      </c>
      <c r="R52" s="65" t="s">
        <v>497</v>
      </c>
      <c r="S52" s="66">
        <v>1.2232407407407407E-3</v>
      </c>
      <c r="T52" s="67" t="s">
        <v>706</v>
      </c>
      <c r="U52" s="68">
        <v>1.2239814814814815E-3</v>
      </c>
      <c r="V52" s="65" t="s">
        <v>349</v>
      </c>
      <c r="W52" s="66">
        <v>1.2246064814814815E-3</v>
      </c>
      <c r="X52" s="67" t="s">
        <v>329</v>
      </c>
      <c r="Y52" s="68">
        <v>1.2251736111111111E-3</v>
      </c>
      <c r="Z52" s="65" t="s">
        <v>369</v>
      </c>
      <c r="AA52" s="66">
        <v>1.2268981481481482E-3</v>
      </c>
      <c r="AB52" s="67" t="s">
        <v>418</v>
      </c>
      <c r="AC52" s="68">
        <v>1.2270486111111113E-3</v>
      </c>
      <c r="AD52" s="65" t="s">
        <v>529</v>
      </c>
      <c r="AE52" s="66">
        <v>1.2299768518518519E-3</v>
      </c>
      <c r="AF52" s="67" t="s">
        <v>481</v>
      </c>
      <c r="AG52" s="68">
        <v>1.231238425925926E-3</v>
      </c>
      <c r="AH52" s="65" t="s">
        <v>365</v>
      </c>
      <c r="AI52" s="66">
        <v>1.2342824074074075E-3</v>
      </c>
      <c r="AJ52" s="67" t="s">
        <v>549</v>
      </c>
      <c r="AK52" s="68">
        <v>1.2483564814814814E-3</v>
      </c>
      <c r="AL52" s="65" t="s">
        <v>528</v>
      </c>
      <c r="AM52" s="66">
        <v>1.254050925925926E-3</v>
      </c>
      <c r="AN52" s="67" t="s">
        <v>705</v>
      </c>
      <c r="AO52" s="68">
        <v>1.2810300925925925E-3</v>
      </c>
      <c r="AP52" s="65" t="s">
        <v>73</v>
      </c>
      <c r="AQ52" s="66" t="s">
        <v>73</v>
      </c>
      <c r="AR52" s="67" t="s">
        <v>73</v>
      </c>
      <c r="AS52" s="68" t="s">
        <v>73</v>
      </c>
      <c r="AU52" s="31"/>
    </row>
    <row r="53" spans="1:47" ht="15" customHeight="1" thickBot="1" x14ac:dyDescent="0.25">
      <c r="A53" s="75" t="s">
        <v>169</v>
      </c>
      <c r="B53" s="71" t="s">
        <v>500</v>
      </c>
      <c r="C53" s="72">
        <v>1.1865624999999999E-3</v>
      </c>
      <c r="D53" s="71" t="s">
        <v>67</v>
      </c>
      <c r="E53" s="73">
        <v>1.1952199074074074E-3</v>
      </c>
      <c r="F53" s="71" t="s">
        <v>66</v>
      </c>
      <c r="G53" s="72">
        <v>1.1953935185185184E-3</v>
      </c>
      <c r="H53" s="71" t="s">
        <v>350</v>
      </c>
      <c r="I53" s="73">
        <v>7.4554398148148147E-4</v>
      </c>
      <c r="J53" s="71" t="s">
        <v>390</v>
      </c>
      <c r="K53" s="72">
        <v>1.2001157407407407E-3</v>
      </c>
      <c r="L53" s="71" t="s">
        <v>348</v>
      </c>
      <c r="M53" s="73">
        <v>1.2066782407407406E-3</v>
      </c>
      <c r="N53" s="71" t="s">
        <v>329</v>
      </c>
      <c r="O53" s="72">
        <v>1.2099768518518521E-3</v>
      </c>
      <c r="P53" s="71" t="s">
        <v>63</v>
      </c>
      <c r="Q53" s="73">
        <v>1.210150462962963E-3</v>
      </c>
      <c r="R53" s="71" t="s">
        <v>347</v>
      </c>
      <c r="S53" s="72">
        <v>1.2118750000000001E-3</v>
      </c>
      <c r="T53" s="71" t="s">
        <v>369</v>
      </c>
      <c r="U53" s="73">
        <v>1.2162731481481482E-3</v>
      </c>
      <c r="V53" s="71" t="s">
        <v>349</v>
      </c>
      <c r="W53" s="72">
        <v>1.2129282407407408E-3</v>
      </c>
      <c r="X53" s="71" t="s">
        <v>529</v>
      </c>
      <c r="Y53" s="73">
        <v>1.2135069444444446E-3</v>
      </c>
      <c r="Z53" s="71" t="s">
        <v>481</v>
      </c>
      <c r="AA53" s="72">
        <v>1.2158217592592592E-3</v>
      </c>
      <c r="AB53" s="71" t="s">
        <v>705</v>
      </c>
      <c r="AC53" s="73">
        <v>1.2245254629629631E-3</v>
      </c>
      <c r="AD53" s="71" t="s">
        <v>497</v>
      </c>
      <c r="AE53" s="72" t="s">
        <v>73</v>
      </c>
      <c r="AF53" s="71" t="s">
        <v>706</v>
      </c>
      <c r="AG53" s="73">
        <v>1.231886574074074E-3</v>
      </c>
      <c r="AH53" s="71" t="s">
        <v>418</v>
      </c>
      <c r="AI53" s="72">
        <v>1.2327199074074074E-3</v>
      </c>
      <c r="AJ53" s="71" t="s">
        <v>365</v>
      </c>
      <c r="AK53" s="73">
        <v>1.2328472222222222E-3</v>
      </c>
      <c r="AL53" s="71" t="s">
        <v>549</v>
      </c>
      <c r="AM53" s="72">
        <v>1.2447685185185185E-3</v>
      </c>
      <c r="AN53" s="71" t="s">
        <v>528</v>
      </c>
      <c r="AO53" s="73" t="s">
        <v>73</v>
      </c>
      <c r="AP53" s="71" t="s">
        <v>73</v>
      </c>
      <c r="AQ53" s="72" t="s">
        <v>73</v>
      </c>
      <c r="AR53" s="71" t="s">
        <v>73</v>
      </c>
      <c r="AS53" s="73" t="s">
        <v>73</v>
      </c>
      <c r="AT53" s="115">
        <v>1.2828472222222223E-3</v>
      </c>
    </row>
    <row r="54" spans="1:47" ht="15" customHeight="1" x14ac:dyDescent="0.2">
      <c r="A54" s="64" t="s">
        <v>170</v>
      </c>
      <c r="B54" s="65" t="s">
        <v>500</v>
      </c>
      <c r="C54" s="66">
        <v>1.0174189814814813E-3</v>
      </c>
      <c r="D54" s="67" t="s">
        <v>418</v>
      </c>
      <c r="E54" s="68">
        <v>1.0209606481481482E-3</v>
      </c>
      <c r="F54" s="65" t="s">
        <v>529</v>
      </c>
      <c r="G54" s="66">
        <v>1.0237268518518518E-3</v>
      </c>
      <c r="H54" s="67" t="s">
        <v>66</v>
      </c>
      <c r="I54" s="68">
        <v>1.0269675925925926E-3</v>
      </c>
      <c r="J54" s="65" t="s">
        <v>705</v>
      </c>
      <c r="K54" s="66">
        <v>1.0303819444444444E-3</v>
      </c>
      <c r="L54" s="67" t="s">
        <v>365</v>
      </c>
      <c r="M54" s="68">
        <v>1.0412037037037037E-3</v>
      </c>
      <c r="N54" s="65" t="s">
        <v>390</v>
      </c>
      <c r="O54" s="66">
        <v>1.0428240740740741E-3</v>
      </c>
      <c r="P54" s="67" t="s">
        <v>67</v>
      </c>
      <c r="Q54" s="68">
        <v>1.0475347222222223E-3</v>
      </c>
      <c r="R54" s="65" t="s">
        <v>350</v>
      </c>
      <c r="S54" s="66">
        <v>1.0485648148148149E-3</v>
      </c>
      <c r="T54" s="67" t="s">
        <v>706</v>
      </c>
      <c r="U54" s="68">
        <v>1.0497106481481481E-3</v>
      </c>
      <c r="V54" s="65" t="s">
        <v>497</v>
      </c>
      <c r="W54" s="66">
        <v>1.0746296296296296E-3</v>
      </c>
      <c r="X54" s="67" t="s">
        <v>481</v>
      </c>
      <c r="Y54" s="68">
        <v>1.0876851851851852E-3</v>
      </c>
      <c r="Z54" s="65" t="s">
        <v>348</v>
      </c>
      <c r="AA54" s="66">
        <v>1.0940740740740741E-3</v>
      </c>
      <c r="AB54" s="67" t="s">
        <v>369</v>
      </c>
      <c r="AC54" s="68">
        <v>1.0962384259259261E-3</v>
      </c>
      <c r="AD54" s="65" t="s">
        <v>329</v>
      </c>
      <c r="AE54" s="66">
        <v>1.1010763888888889E-3</v>
      </c>
      <c r="AF54" s="67" t="s">
        <v>349</v>
      </c>
      <c r="AG54" s="68">
        <v>1.1108796296296296E-3</v>
      </c>
      <c r="AH54" s="65" t="s">
        <v>528</v>
      </c>
      <c r="AI54" s="66">
        <v>1.1321296296296296E-3</v>
      </c>
      <c r="AJ54" s="67" t="s">
        <v>549</v>
      </c>
      <c r="AK54" s="68">
        <v>1.1391319444444446E-3</v>
      </c>
      <c r="AL54" s="65" t="s">
        <v>347</v>
      </c>
      <c r="AM54" s="66" t="s">
        <v>73</v>
      </c>
      <c r="AN54" s="67" t="s">
        <v>63</v>
      </c>
      <c r="AO54" s="68" t="s">
        <v>73</v>
      </c>
      <c r="AP54" s="65" t="s">
        <v>73</v>
      </c>
      <c r="AQ54" s="66" t="s">
        <v>73</v>
      </c>
      <c r="AR54" s="67" t="s">
        <v>73</v>
      </c>
      <c r="AS54" s="68" t="s">
        <v>73</v>
      </c>
    </row>
    <row r="55" spans="1:47" ht="15" customHeight="1" x14ac:dyDescent="0.2">
      <c r="A55" s="69" t="s">
        <v>171</v>
      </c>
      <c r="B55" s="65" t="s">
        <v>500</v>
      </c>
      <c r="C55" s="66">
        <v>9.3724537037037029E-4</v>
      </c>
      <c r="D55" s="67" t="s">
        <v>66</v>
      </c>
      <c r="E55" s="68">
        <v>9.3803240740740739E-4</v>
      </c>
      <c r="F55" s="65" t="s">
        <v>67</v>
      </c>
      <c r="G55" s="66">
        <v>9.3957175925925935E-4</v>
      </c>
      <c r="H55" s="67" t="s">
        <v>350</v>
      </c>
      <c r="I55" s="68">
        <v>9.4151620370370363E-4</v>
      </c>
      <c r="J55" s="65" t="s">
        <v>390</v>
      </c>
      <c r="K55" s="66">
        <v>9.4155092592592598E-4</v>
      </c>
      <c r="L55" s="67" t="s">
        <v>705</v>
      </c>
      <c r="M55" s="68">
        <v>9.4431712962962959E-4</v>
      </c>
      <c r="N55" s="65" t="s">
        <v>706</v>
      </c>
      <c r="O55" s="66">
        <v>9.5050925925925934E-4</v>
      </c>
      <c r="P55" s="67" t="s">
        <v>349</v>
      </c>
      <c r="Q55" s="68">
        <v>9.508449074074073E-4</v>
      </c>
      <c r="R55" s="65" t="s">
        <v>348</v>
      </c>
      <c r="S55" s="66">
        <v>9.5195601851851854E-4</v>
      </c>
      <c r="T55" s="67" t="s">
        <v>365</v>
      </c>
      <c r="U55" s="68">
        <v>9.5208333333333332E-4</v>
      </c>
      <c r="V55" s="65" t="s">
        <v>329</v>
      </c>
      <c r="W55" s="66">
        <v>9.5298611111111116E-4</v>
      </c>
      <c r="X55" s="67" t="s">
        <v>418</v>
      </c>
      <c r="Y55" s="68">
        <v>9.5465277777777779E-4</v>
      </c>
      <c r="Z55" s="65" t="s">
        <v>369</v>
      </c>
      <c r="AA55" s="66">
        <v>9.5498842592592586E-4</v>
      </c>
      <c r="AB55" s="67" t="s">
        <v>63</v>
      </c>
      <c r="AC55" s="68">
        <v>9.551273148148149E-4</v>
      </c>
      <c r="AD55" s="65" t="s">
        <v>481</v>
      </c>
      <c r="AE55" s="66">
        <v>9.5724537037037045E-4</v>
      </c>
      <c r="AF55" s="67" t="s">
        <v>347</v>
      </c>
      <c r="AG55" s="68">
        <v>9.5928240740740739E-4</v>
      </c>
      <c r="AH55" s="65" t="s">
        <v>497</v>
      </c>
      <c r="AI55" s="66">
        <v>9.6140046296296295E-4</v>
      </c>
      <c r="AJ55" s="67" t="s">
        <v>529</v>
      </c>
      <c r="AK55" s="68">
        <v>9.6714120370370367E-4</v>
      </c>
      <c r="AL55" s="65" t="s">
        <v>528</v>
      </c>
      <c r="AM55" s="66">
        <v>9.6917824074074083E-4</v>
      </c>
      <c r="AN55" s="67" t="s">
        <v>549</v>
      </c>
      <c r="AO55" s="68">
        <v>9.7584490740740737E-4</v>
      </c>
      <c r="AP55" s="65" t="s">
        <v>73</v>
      </c>
      <c r="AQ55" s="66" t="s">
        <v>73</v>
      </c>
      <c r="AR55" s="67" t="s">
        <v>73</v>
      </c>
      <c r="AS55" s="68" t="s">
        <v>73</v>
      </c>
    </row>
    <row r="56" spans="1:47" ht="15" customHeight="1" thickBot="1" x14ac:dyDescent="0.25">
      <c r="A56" s="69" t="s">
        <v>172</v>
      </c>
      <c r="B56" s="65" t="s">
        <v>67</v>
      </c>
      <c r="C56" s="66">
        <v>9.2932870370370381E-4</v>
      </c>
      <c r="D56" s="67" t="s">
        <v>390</v>
      </c>
      <c r="E56" s="68">
        <v>9.2969907407407411E-4</v>
      </c>
      <c r="F56" s="65" t="s">
        <v>350</v>
      </c>
      <c r="G56" s="66">
        <v>9.3059027777777769E-4</v>
      </c>
      <c r="H56" s="67" t="s">
        <v>500</v>
      </c>
      <c r="I56" s="68">
        <v>9.3059027777777769E-4</v>
      </c>
      <c r="J56" s="65" t="s">
        <v>348</v>
      </c>
      <c r="K56" s="66">
        <v>9.3245370370370368E-4</v>
      </c>
      <c r="L56" s="67" t="s">
        <v>66</v>
      </c>
      <c r="M56" s="68">
        <v>9.3281250000000005E-4</v>
      </c>
      <c r="N56" s="65" t="s">
        <v>329</v>
      </c>
      <c r="O56" s="66">
        <v>9.3462962962962976E-4</v>
      </c>
      <c r="P56" s="67" t="s">
        <v>705</v>
      </c>
      <c r="Q56" s="68">
        <v>9.3549768518518504E-4</v>
      </c>
      <c r="R56" s="65" t="s">
        <v>497</v>
      </c>
      <c r="S56" s="66">
        <v>9.3612268518518523E-4</v>
      </c>
      <c r="T56" s="67" t="s">
        <v>365</v>
      </c>
      <c r="U56" s="68">
        <v>9.3686342592592595E-4</v>
      </c>
      <c r="V56" s="65" t="s">
        <v>418</v>
      </c>
      <c r="W56" s="66">
        <v>9.3690972222222222E-4</v>
      </c>
      <c r="X56" s="67" t="s">
        <v>347</v>
      </c>
      <c r="Y56" s="68">
        <v>9.3753472222222231E-4</v>
      </c>
      <c r="Z56" s="65" t="s">
        <v>706</v>
      </c>
      <c r="AA56" s="66">
        <v>9.3834490740740738E-4</v>
      </c>
      <c r="AB56" s="67" t="s">
        <v>529</v>
      </c>
      <c r="AC56" s="68">
        <v>9.4087962962962962E-4</v>
      </c>
      <c r="AD56" s="65" t="s">
        <v>63</v>
      </c>
      <c r="AE56" s="66">
        <v>9.4126157407407407E-4</v>
      </c>
      <c r="AF56" s="67" t="s">
        <v>369</v>
      </c>
      <c r="AG56" s="68">
        <v>9.4138888888888885E-4</v>
      </c>
      <c r="AH56" s="65" t="s">
        <v>349</v>
      </c>
      <c r="AI56" s="66">
        <v>9.4468749999999989E-4</v>
      </c>
      <c r="AJ56" s="67" t="s">
        <v>481</v>
      </c>
      <c r="AK56" s="68">
        <v>9.4489583333333329E-4</v>
      </c>
      <c r="AL56" s="65" t="s">
        <v>549</v>
      </c>
      <c r="AM56" s="66">
        <v>9.5340277777777784E-4</v>
      </c>
      <c r="AN56" s="67" t="s">
        <v>528</v>
      </c>
      <c r="AO56" s="68">
        <v>9.5784722222222224E-4</v>
      </c>
      <c r="AP56" s="65" t="s">
        <v>73</v>
      </c>
      <c r="AQ56" s="66" t="s">
        <v>73</v>
      </c>
      <c r="AR56" s="67" t="s">
        <v>73</v>
      </c>
      <c r="AS56" s="68" t="s">
        <v>73</v>
      </c>
      <c r="AU56" s="325"/>
    </row>
    <row r="57" spans="1:47" ht="15" customHeight="1" thickBot="1" x14ac:dyDescent="0.25">
      <c r="A57" s="75" t="s">
        <v>173</v>
      </c>
      <c r="B57" s="71" t="s">
        <v>500</v>
      </c>
      <c r="C57" s="72">
        <v>9.1790509259259256E-4</v>
      </c>
      <c r="D57" s="71" t="s">
        <v>66</v>
      </c>
      <c r="E57" s="73">
        <v>9.1835648148148148E-4</v>
      </c>
      <c r="F57" s="71" t="s">
        <v>350</v>
      </c>
      <c r="G57" s="72">
        <v>9.1844907407407413E-4</v>
      </c>
      <c r="H57" s="71" t="s">
        <v>67</v>
      </c>
      <c r="I57" s="73">
        <v>9.1964120370370366E-4</v>
      </c>
      <c r="J57" s="71" t="s">
        <v>348</v>
      </c>
      <c r="K57" s="72">
        <v>9.2406249999999997E-4</v>
      </c>
      <c r="L57" s="71" t="s">
        <v>329</v>
      </c>
      <c r="M57" s="73">
        <v>9.2649305555555551E-4</v>
      </c>
      <c r="N57" s="71" t="s">
        <v>418</v>
      </c>
      <c r="O57" s="72">
        <v>9.311921296296298E-4</v>
      </c>
      <c r="P57" s="71" t="s">
        <v>705</v>
      </c>
      <c r="Q57" s="73" t="s">
        <v>73</v>
      </c>
      <c r="R57" s="71" t="s">
        <v>481</v>
      </c>
      <c r="S57" s="72" t="s">
        <v>73</v>
      </c>
      <c r="T57" s="71" t="s">
        <v>63</v>
      </c>
      <c r="U57" s="73" t="s">
        <v>73</v>
      </c>
      <c r="V57" s="71" t="s">
        <v>497</v>
      </c>
      <c r="W57" s="72">
        <v>9.319097222222221E-4</v>
      </c>
      <c r="X57" s="71" t="s">
        <v>369</v>
      </c>
      <c r="Y57" s="73">
        <v>9.3304398148148142E-4</v>
      </c>
      <c r="Z57" s="71" t="s">
        <v>365</v>
      </c>
      <c r="AA57" s="72">
        <v>9.3321759259259269E-4</v>
      </c>
      <c r="AB57" s="71" t="s">
        <v>529</v>
      </c>
      <c r="AC57" s="73">
        <v>9.3828703703703695E-4</v>
      </c>
      <c r="AD57" s="71" t="s">
        <v>706</v>
      </c>
      <c r="AE57" s="72">
        <v>9.3894675925925927E-4</v>
      </c>
      <c r="AF57" s="71" t="s">
        <v>349</v>
      </c>
      <c r="AG57" s="73">
        <v>9.3500000000000007E-4</v>
      </c>
      <c r="AH57" s="71" t="s">
        <v>347</v>
      </c>
      <c r="AI57" s="72">
        <v>9.4086805555555547E-4</v>
      </c>
      <c r="AJ57" s="71" t="s">
        <v>549</v>
      </c>
      <c r="AK57" s="73">
        <v>9.4675925925925917E-4</v>
      </c>
      <c r="AL57" s="71" t="s">
        <v>528</v>
      </c>
      <c r="AM57" s="72">
        <v>9.5319444444444444E-4</v>
      </c>
      <c r="AN57" s="71" t="s">
        <v>390</v>
      </c>
      <c r="AO57" s="73" t="s">
        <v>73</v>
      </c>
      <c r="AP57" s="71" t="s">
        <v>73</v>
      </c>
      <c r="AQ57" s="72" t="s">
        <v>73</v>
      </c>
      <c r="AR57" s="71" t="s">
        <v>73</v>
      </c>
      <c r="AS57" s="73" t="s">
        <v>73</v>
      </c>
      <c r="AT57" s="115">
        <v>9.9229166666666671E-4</v>
      </c>
    </row>
    <row r="58" spans="1:47" ht="15" customHeight="1" x14ac:dyDescent="0.2">
      <c r="A58" s="64" t="s">
        <v>174</v>
      </c>
      <c r="B58" s="65" t="s">
        <v>73</v>
      </c>
      <c r="C58" s="66" t="s">
        <v>73</v>
      </c>
      <c r="D58" s="67" t="s">
        <v>73</v>
      </c>
      <c r="E58" s="68" t="s">
        <v>73</v>
      </c>
      <c r="F58" s="65" t="s">
        <v>73</v>
      </c>
      <c r="G58" s="66" t="s">
        <v>73</v>
      </c>
      <c r="H58" s="67" t="s">
        <v>73</v>
      </c>
      <c r="I58" s="68" t="s">
        <v>73</v>
      </c>
      <c r="J58" s="65" t="s">
        <v>73</v>
      </c>
      <c r="K58" s="66" t="s">
        <v>73</v>
      </c>
      <c r="L58" s="67" t="s">
        <v>73</v>
      </c>
      <c r="M58" s="68" t="s">
        <v>73</v>
      </c>
      <c r="N58" s="65" t="s">
        <v>73</v>
      </c>
      <c r="O58" s="66" t="s">
        <v>73</v>
      </c>
      <c r="P58" s="67" t="s">
        <v>73</v>
      </c>
      <c r="Q58" s="68" t="s">
        <v>73</v>
      </c>
      <c r="R58" s="65" t="s">
        <v>73</v>
      </c>
      <c r="S58" s="66" t="s">
        <v>73</v>
      </c>
      <c r="T58" s="67" t="s">
        <v>73</v>
      </c>
      <c r="U58" s="68" t="s">
        <v>73</v>
      </c>
      <c r="V58" s="65" t="s">
        <v>73</v>
      </c>
      <c r="W58" s="66" t="s">
        <v>73</v>
      </c>
      <c r="X58" s="67" t="s">
        <v>73</v>
      </c>
      <c r="Y58" s="68" t="s">
        <v>73</v>
      </c>
      <c r="Z58" s="65" t="s">
        <v>73</v>
      </c>
      <c r="AA58" s="66" t="s">
        <v>73</v>
      </c>
      <c r="AB58" s="67" t="s">
        <v>73</v>
      </c>
      <c r="AC58" s="68" t="s">
        <v>73</v>
      </c>
      <c r="AD58" s="65" t="s">
        <v>73</v>
      </c>
      <c r="AE58" s="66" t="s">
        <v>73</v>
      </c>
      <c r="AF58" s="67" t="s">
        <v>73</v>
      </c>
      <c r="AG58" s="68" t="s">
        <v>73</v>
      </c>
      <c r="AH58" s="65" t="s">
        <v>73</v>
      </c>
      <c r="AI58" s="66" t="s">
        <v>73</v>
      </c>
      <c r="AJ58" s="67" t="s">
        <v>73</v>
      </c>
      <c r="AK58" s="68" t="s">
        <v>73</v>
      </c>
      <c r="AL58" s="65" t="s">
        <v>73</v>
      </c>
      <c r="AM58" s="66" t="s">
        <v>73</v>
      </c>
      <c r="AN58" s="67" t="s">
        <v>73</v>
      </c>
      <c r="AO58" s="68" t="s">
        <v>73</v>
      </c>
      <c r="AP58" s="65" t="s">
        <v>73</v>
      </c>
      <c r="AQ58" s="66" t="s">
        <v>73</v>
      </c>
      <c r="AR58" s="67" t="s">
        <v>73</v>
      </c>
      <c r="AS58" s="68" t="s">
        <v>73</v>
      </c>
    </row>
    <row r="59" spans="1:47" ht="15" customHeight="1" x14ac:dyDescent="0.2">
      <c r="A59" s="69" t="s">
        <v>175</v>
      </c>
      <c r="B59" s="65" t="s">
        <v>73</v>
      </c>
      <c r="C59" s="66" t="s">
        <v>73</v>
      </c>
      <c r="D59" s="67" t="s">
        <v>73</v>
      </c>
      <c r="E59" s="68" t="s">
        <v>73</v>
      </c>
      <c r="F59" s="65" t="s">
        <v>73</v>
      </c>
      <c r="G59" s="66" t="s">
        <v>73</v>
      </c>
      <c r="H59" s="67" t="s">
        <v>73</v>
      </c>
      <c r="I59" s="68" t="s">
        <v>73</v>
      </c>
      <c r="J59" s="65" t="s">
        <v>73</v>
      </c>
      <c r="K59" s="66" t="s">
        <v>73</v>
      </c>
      <c r="L59" s="67" t="s">
        <v>73</v>
      </c>
      <c r="M59" s="68" t="s">
        <v>73</v>
      </c>
      <c r="N59" s="65" t="s">
        <v>73</v>
      </c>
      <c r="O59" s="66" t="s">
        <v>73</v>
      </c>
      <c r="P59" s="67" t="s">
        <v>73</v>
      </c>
      <c r="Q59" s="68" t="s">
        <v>73</v>
      </c>
      <c r="R59" s="65" t="s">
        <v>73</v>
      </c>
      <c r="S59" s="66" t="s">
        <v>73</v>
      </c>
      <c r="T59" s="67" t="s">
        <v>73</v>
      </c>
      <c r="U59" s="68" t="s">
        <v>73</v>
      </c>
      <c r="V59" s="65" t="s">
        <v>73</v>
      </c>
      <c r="W59" s="66" t="s">
        <v>73</v>
      </c>
      <c r="X59" s="67" t="s">
        <v>73</v>
      </c>
      <c r="Y59" s="68" t="s">
        <v>73</v>
      </c>
      <c r="Z59" s="65" t="s">
        <v>73</v>
      </c>
      <c r="AA59" s="66" t="s">
        <v>73</v>
      </c>
      <c r="AB59" s="67" t="s">
        <v>73</v>
      </c>
      <c r="AC59" s="68" t="s">
        <v>73</v>
      </c>
      <c r="AD59" s="65" t="s">
        <v>73</v>
      </c>
      <c r="AE59" s="66" t="s">
        <v>73</v>
      </c>
      <c r="AF59" s="67" t="s">
        <v>73</v>
      </c>
      <c r="AG59" s="68" t="s">
        <v>73</v>
      </c>
      <c r="AH59" s="65" t="s">
        <v>73</v>
      </c>
      <c r="AI59" s="66" t="s">
        <v>73</v>
      </c>
      <c r="AJ59" s="67" t="s">
        <v>73</v>
      </c>
      <c r="AK59" s="68" t="s">
        <v>73</v>
      </c>
      <c r="AL59" s="65" t="s">
        <v>73</v>
      </c>
      <c r="AM59" s="66" t="s">
        <v>73</v>
      </c>
      <c r="AN59" s="67" t="s">
        <v>73</v>
      </c>
      <c r="AO59" s="68" t="s">
        <v>73</v>
      </c>
      <c r="AP59" s="65" t="s">
        <v>73</v>
      </c>
      <c r="AQ59" s="66" t="s">
        <v>73</v>
      </c>
      <c r="AR59" s="67" t="s">
        <v>73</v>
      </c>
      <c r="AS59" s="68" t="s">
        <v>73</v>
      </c>
    </row>
    <row r="60" spans="1:47" ht="15" customHeight="1" thickBot="1" x14ac:dyDescent="0.25">
      <c r="A60" s="69" t="s">
        <v>176</v>
      </c>
      <c r="B60" s="65" t="s">
        <v>73</v>
      </c>
      <c r="C60" s="66" t="s">
        <v>73</v>
      </c>
      <c r="D60" s="67" t="s">
        <v>73</v>
      </c>
      <c r="E60" s="68" t="s">
        <v>73</v>
      </c>
      <c r="F60" s="65" t="s">
        <v>73</v>
      </c>
      <c r="G60" s="66" t="s">
        <v>73</v>
      </c>
      <c r="H60" s="67" t="s">
        <v>73</v>
      </c>
      <c r="I60" s="68" t="s">
        <v>73</v>
      </c>
      <c r="J60" s="65" t="s">
        <v>73</v>
      </c>
      <c r="K60" s="66" t="s">
        <v>73</v>
      </c>
      <c r="L60" s="67" t="s">
        <v>73</v>
      </c>
      <c r="M60" s="68" t="s">
        <v>73</v>
      </c>
      <c r="N60" s="65" t="s">
        <v>73</v>
      </c>
      <c r="O60" s="66" t="s">
        <v>73</v>
      </c>
      <c r="P60" s="67" t="s">
        <v>73</v>
      </c>
      <c r="Q60" s="68" t="s">
        <v>73</v>
      </c>
      <c r="R60" s="65" t="s">
        <v>73</v>
      </c>
      <c r="S60" s="66" t="s">
        <v>73</v>
      </c>
      <c r="T60" s="67" t="s">
        <v>73</v>
      </c>
      <c r="U60" s="68" t="s">
        <v>73</v>
      </c>
      <c r="V60" s="65" t="s">
        <v>73</v>
      </c>
      <c r="W60" s="66" t="s">
        <v>73</v>
      </c>
      <c r="X60" s="67" t="s">
        <v>73</v>
      </c>
      <c r="Y60" s="68" t="s">
        <v>73</v>
      </c>
      <c r="Z60" s="65" t="s">
        <v>73</v>
      </c>
      <c r="AA60" s="66" t="s">
        <v>73</v>
      </c>
      <c r="AB60" s="67" t="s">
        <v>73</v>
      </c>
      <c r="AC60" s="68" t="s">
        <v>73</v>
      </c>
      <c r="AD60" s="65" t="s">
        <v>73</v>
      </c>
      <c r="AE60" s="66" t="s">
        <v>73</v>
      </c>
      <c r="AF60" s="67" t="s">
        <v>73</v>
      </c>
      <c r="AG60" s="68" t="s">
        <v>73</v>
      </c>
      <c r="AH60" s="65" t="s">
        <v>73</v>
      </c>
      <c r="AI60" s="66" t="s">
        <v>73</v>
      </c>
      <c r="AJ60" s="67" t="s">
        <v>73</v>
      </c>
      <c r="AK60" s="68" t="s">
        <v>73</v>
      </c>
      <c r="AL60" s="65" t="s">
        <v>73</v>
      </c>
      <c r="AM60" s="66" t="s">
        <v>73</v>
      </c>
      <c r="AN60" s="67" t="s">
        <v>73</v>
      </c>
      <c r="AO60" s="68" t="s">
        <v>73</v>
      </c>
      <c r="AP60" s="65" t="s">
        <v>73</v>
      </c>
      <c r="AQ60" s="66" t="s">
        <v>73</v>
      </c>
      <c r="AR60" s="67" t="s">
        <v>73</v>
      </c>
      <c r="AS60" s="68" t="s">
        <v>73</v>
      </c>
    </row>
    <row r="61" spans="1:47" ht="15" customHeight="1" thickBot="1" x14ac:dyDescent="0.25">
      <c r="A61" s="75" t="s">
        <v>177</v>
      </c>
      <c r="B61" s="71" t="s">
        <v>73</v>
      </c>
      <c r="C61" s="72" t="s">
        <v>73</v>
      </c>
      <c r="D61" s="71" t="s">
        <v>73</v>
      </c>
      <c r="E61" s="73" t="s">
        <v>73</v>
      </c>
      <c r="F61" s="71" t="s">
        <v>73</v>
      </c>
      <c r="G61" s="72" t="s">
        <v>73</v>
      </c>
      <c r="H61" s="71" t="s">
        <v>73</v>
      </c>
      <c r="I61" s="73" t="s">
        <v>73</v>
      </c>
      <c r="J61" s="71" t="s">
        <v>73</v>
      </c>
      <c r="K61" s="72" t="s">
        <v>73</v>
      </c>
      <c r="L61" s="71" t="s">
        <v>73</v>
      </c>
      <c r="M61" s="73" t="s">
        <v>73</v>
      </c>
      <c r="N61" s="71" t="s">
        <v>73</v>
      </c>
      <c r="O61" s="72" t="s">
        <v>73</v>
      </c>
      <c r="P61" s="71" t="s">
        <v>73</v>
      </c>
      <c r="Q61" s="73" t="s">
        <v>73</v>
      </c>
      <c r="R61" s="71" t="s">
        <v>73</v>
      </c>
      <c r="S61" s="72" t="s">
        <v>73</v>
      </c>
      <c r="T61" s="71" t="s">
        <v>73</v>
      </c>
      <c r="U61" s="73" t="s">
        <v>73</v>
      </c>
      <c r="V61" s="71" t="s">
        <v>73</v>
      </c>
      <c r="W61" s="72" t="s">
        <v>73</v>
      </c>
      <c r="X61" s="71" t="s">
        <v>73</v>
      </c>
      <c r="Y61" s="73" t="s">
        <v>73</v>
      </c>
      <c r="Z61" s="71" t="s">
        <v>73</v>
      </c>
      <c r="AA61" s="72" t="s">
        <v>73</v>
      </c>
      <c r="AB61" s="71" t="s">
        <v>73</v>
      </c>
      <c r="AC61" s="73" t="s">
        <v>73</v>
      </c>
      <c r="AD61" s="71" t="s">
        <v>73</v>
      </c>
      <c r="AE61" s="72" t="s">
        <v>73</v>
      </c>
      <c r="AF61" s="71" t="s">
        <v>73</v>
      </c>
      <c r="AG61" s="73" t="s">
        <v>73</v>
      </c>
      <c r="AH61" s="71" t="s">
        <v>73</v>
      </c>
      <c r="AI61" s="72" t="s">
        <v>73</v>
      </c>
      <c r="AJ61" s="71" t="s">
        <v>73</v>
      </c>
      <c r="AK61" s="73" t="s">
        <v>73</v>
      </c>
      <c r="AL61" s="71" t="s">
        <v>73</v>
      </c>
      <c r="AM61" s="72" t="s">
        <v>73</v>
      </c>
      <c r="AN61" s="71" t="s">
        <v>73</v>
      </c>
      <c r="AO61" s="73" t="s">
        <v>73</v>
      </c>
      <c r="AP61" s="71" t="s">
        <v>73</v>
      </c>
      <c r="AQ61" s="72" t="s">
        <v>73</v>
      </c>
      <c r="AR61" s="71" t="s">
        <v>73</v>
      </c>
      <c r="AS61" s="73" t="s">
        <v>73</v>
      </c>
      <c r="AT61" s="115" t="s">
        <v>73</v>
      </c>
    </row>
    <row r="62" spans="1:47" ht="15" customHeight="1" x14ac:dyDescent="0.2">
      <c r="A62" s="64" t="s">
        <v>178</v>
      </c>
      <c r="B62" s="65" t="s">
        <v>73</v>
      </c>
      <c r="C62" s="66" t="s">
        <v>73</v>
      </c>
      <c r="D62" s="67" t="s">
        <v>73</v>
      </c>
      <c r="E62" s="68" t="s">
        <v>73</v>
      </c>
      <c r="F62" s="65" t="s">
        <v>73</v>
      </c>
      <c r="G62" s="66" t="s">
        <v>73</v>
      </c>
      <c r="H62" s="67" t="s">
        <v>73</v>
      </c>
      <c r="I62" s="68" t="s">
        <v>73</v>
      </c>
      <c r="J62" s="65" t="s">
        <v>73</v>
      </c>
      <c r="K62" s="66" t="s">
        <v>73</v>
      </c>
      <c r="L62" s="67" t="s">
        <v>73</v>
      </c>
      <c r="M62" s="68" t="s">
        <v>73</v>
      </c>
      <c r="N62" s="65" t="s">
        <v>73</v>
      </c>
      <c r="O62" s="66" t="s">
        <v>73</v>
      </c>
      <c r="P62" s="67" t="s">
        <v>73</v>
      </c>
      <c r="Q62" s="68" t="s">
        <v>73</v>
      </c>
      <c r="R62" s="65" t="s">
        <v>73</v>
      </c>
      <c r="S62" s="66" t="s">
        <v>73</v>
      </c>
      <c r="T62" s="67" t="s">
        <v>73</v>
      </c>
      <c r="U62" s="68" t="s">
        <v>73</v>
      </c>
      <c r="V62" s="65" t="s">
        <v>73</v>
      </c>
      <c r="W62" s="66" t="s">
        <v>73</v>
      </c>
      <c r="X62" s="67" t="s">
        <v>73</v>
      </c>
      <c r="Y62" s="68" t="s">
        <v>73</v>
      </c>
      <c r="Z62" s="65" t="s">
        <v>73</v>
      </c>
      <c r="AA62" s="66" t="s">
        <v>73</v>
      </c>
      <c r="AB62" s="67" t="s">
        <v>73</v>
      </c>
      <c r="AC62" s="68" t="s">
        <v>73</v>
      </c>
      <c r="AD62" s="65" t="s">
        <v>73</v>
      </c>
      <c r="AE62" s="66" t="s">
        <v>73</v>
      </c>
      <c r="AF62" s="67" t="s">
        <v>73</v>
      </c>
      <c r="AG62" s="68" t="s">
        <v>73</v>
      </c>
      <c r="AH62" s="65" t="s">
        <v>73</v>
      </c>
      <c r="AI62" s="66" t="s">
        <v>73</v>
      </c>
      <c r="AJ62" s="67" t="s">
        <v>73</v>
      </c>
      <c r="AK62" s="68" t="s">
        <v>73</v>
      </c>
      <c r="AL62" s="65" t="s">
        <v>73</v>
      </c>
      <c r="AM62" s="66" t="s">
        <v>73</v>
      </c>
      <c r="AN62" s="67" t="s">
        <v>73</v>
      </c>
      <c r="AO62" s="68" t="s">
        <v>73</v>
      </c>
      <c r="AP62" s="65" t="s">
        <v>73</v>
      </c>
      <c r="AQ62" s="66" t="s">
        <v>73</v>
      </c>
      <c r="AR62" s="67" t="s">
        <v>73</v>
      </c>
      <c r="AS62" s="68" t="s">
        <v>73</v>
      </c>
    </row>
    <row r="63" spans="1:47" ht="15" customHeight="1" x14ac:dyDescent="0.2">
      <c r="A63" s="69" t="s">
        <v>179</v>
      </c>
      <c r="B63" s="65" t="s">
        <v>73</v>
      </c>
      <c r="C63" s="66" t="s">
        <v>73</v>
      </c>
      <c r="D63" s="67" t="s">
        <v>73</v>
      </c>
      <c r="E63" s="68" t="s">
        <v>73</v>
      </c>
      <c r="F63" s="65" t="s">
        <v>73</v>
      </c>
      <c r="G63" s="66" t="s">
        <v>73</v>
      </c>
      <c r="H63" s="67" t="s">
        <v>73</v>
      </c>
      <c r="I63" s="68" t="s">
        <v>73</v>
      </c>
      <c r="J63" s="65" t="s">
        <v>73</v>
      </c>
      <c r="K63" s="66" t="s">
        <v>73</v>
      </c>
      <c r="L63" s="67" t="s">
        <v>73</v>
      </c>
      <c r="M63" s="68" t="s">
        <v>73</v>
      </c>
      <c r="N63" s="65" t="s">
        <v>73</v>
      </c>
      <c r="O63" s="66" t="s">
        <v>73</v>
      </c>
      <c r="P63" s="67" t="s">
        <v>73</v>
      </c>
      <c r="Q63" s="68" t="s">
        <v>73</v>
      </c>
      <c r="R63" s="65" t="s">
        <v>73</v>
      </c>
      <c r="S63" s="66" t="s">
        <v>73</v>
      </c>
      <c r="T63" s="67" t="s">
        <v>73</v>
      </c>
      <c r="U63" s="68" t="s">
        <v>73</v>
      </c>
      <c r="V63" s="65" t="s">
        <v>73</v>
      </c>
      <c r="W63" s="66" t="s">
        <v>73</v>
      </c>
      <c r="X63" s="67" t="s">
        <v>73</v>
      </c>
      <c r="Y63" s="68" t="s">
        <v>73</v>
      </c>
      <c r="Z63" s="65" t="s">
        <v>73</v>
      </c>
      <c r="AA63" s="66" t="s">
        <v>73</v>
      </c>
      <c r="AB63" s="67" t="s">
        <v>73</v>
      </c>
      <c r="AC63" s="68" t="s">
        <v>73</v>
      </c>
      <c r="AD63" s="65" t="s">
        <v>73</v>
      </c>
      <c r="AE63" s="66" t="s">
        <v>73</v>
      </c>
      <c r="AF63" s="67" t="s">
        <v>73</v>
      </c>
      <c r="AG63" s="68" t="s">
        <v>73</v>
      </c>
      <c r="AH63" s="65" t="s">
        <v>73</v>
      </c>
      <c r="AI63" s="66" t="s">
        <v>73</v>
      </c>
      <c r="AJ63" s="67" t="s">
        <v>73</v>
      </c>
      <c r="AK63" s="68" t="s">
        <v>73</v>
      </c>
      <c r="AL63" s="65" t="s">
        <v>73</v>
      </c>
      <c r="AM63" s="66" t="s">
        <v>73</v>
      </c>
      <c r="AN63" s="67" t="s">
        <v>73</v>
      </c>
      <c r="AO63" s="68" t="s">
        <v>73</v>
      </c>
      <c r="AP63" s="65" t="s">
        <v>73</v>
      </c>
      <c r="AQ63" s="66" t="s">
        <v>73</v>
      </c>
      <c r="AR63" s="67" t="s">
        <v>73</v>
      </c>
      <c r="AS63" s="68" t="s">
        <v>73</v>
      </c>
    </row>
    <row r="64" spans="1:47" ht="15" customHeight="1" thickBot="1" x14ac:dyDescent="0.25">
      <c r="A64" s="69" t="s">
        <v>180</v>
      </c>
      <c r="B64" s="65" t="s">
        <v>73</v>
      </c>
      <c r="C64" s="66" t="s">
        <v>73</v>
      </c>
      <c r="D64" s="67" t="s">
        <v>73</v>
      </c>
      <c r="E64" s="68" t="s">
        <v>73</v>
      </c>
      <c r="F64" s="65" t="s">
        <v>73</v>
      </c>
      <c r="G64" s="66" t="s">
        <v>73</v>
      </c>
      <c r="H64" s="67" t="s">
        <v>73</v>
      </c>
      <c r="I64" s="68" t="s">
        <v>73</v>
      </c>
      <c r="J64" s="65" t="s">
        <v>73</v>
      </c>
      <c r="K64" s="66" t="s">
        <v>73</v>
      </c>
      <c r="L64" s="67" t="s">
        <v>73</v>
      </c>
      <c r="M64" s="68" t="s">
        <v>73</v>
      </c>
      <c r="N64" s="65" t="s">
        <v>73</v>
      </c>
      <c r="O64" s="66" t="s">
        <v>73</v>
      </c>
      <c r="P64" s="67" t="s">
        <v>73</v>
      </c>
      <c r="Q64" s="68" t="s">
        <v>73</v>
      </c>
      <c r="R64" s="65" t="s">
        <v>73</v>
      </c>
      <c r="S64" s="66" t="s">
        <v>73</v>
      </c>
      <c r="T64" s="67" t="s">
        <v>73</v>
      </c>
      <c r="U64" s="68" t="s">
        <v>73</v>
      </c>
      <c r="V64" s="65" t="s">
        <v>73</v>
      </c>
      <c r="W64" s="66" t="s">
        <v>73</v>
      </c>
      <c r="X64" s="67" t="s">
        <v>73</v>
      </c>
      <c r="Y64" s="68" t="s">
        <v>73</v>
      </c>
      <c r="Z64" s="65" t="s">
        <v>73</v>
      </c>
      <c r="AA64" s="66" t="s">
        <v>73</v>
      </c>
      <c r="AB64" s="67" t="s">
        <v>73</v>
      </c>
      <c r="AC64" s="68" t="s">
        <v>73</v>
      </c>
      <c r="AD64" s="65" t="s">
        <v>73</v>
      </c>
      <c r="AE64" s="66" t="s">
        <v>73</v>
      </c>
      <c r="AF64" s="67" t="s">
        <v>73</v>
      </c>
      <c r="AG64" s="68" t="s">
        <v>73</v>
      </c>
      <c r="AH64" s="65" t="s">
        <v>73</v>
      </c>
      <c r="AI64" s="66" t="s">
        <v>73</v>
      </c>
      <c r="AJ64" s="67" t="s">
        <v>73</v>
      </c>
      <c r="AK64" s="68" t="s">
        <v>73</v>
      </c>
      <c r="AL64" s="65" t="s">
        <v>73</v>
      </c>
      <c r="AM64" s="66" t="s">
        <v>73</v>
      </c>
      <c r="AN64" s="67" t="s">
        <v>73</v>
      </c>
      <c r="AO64" s="68" t="s">
        <v>73</v>
      </c>
      <c r="AP64" s="65" t="s">
        <v>73</v>
      </c>
      <c r="AQ64" s="66" t="s">
        <v>73</v>
      </c>
      <c r="AR64" s="67" t="s">
        <v>73</v>
      </c>
      <c r="AS64" s="68" t="s">
        <v>73</v>
      </c>
    </row>
    <row r="65" spans="1:46" ht="15" customHeight="1" thickBot="1" x14ac:dyDescent="0.25">
      <c r="A65" s="74" t="s">
        <v>181</v>
      </c>
      <c r="B65" s="71" t="s">
        <v>73</v>
      </c>
      <c r="C65" s="72" t="s">
        <v>73</v>
      </c>
      <c r="D65" s="71" t="s">
        <v>73</v>
      </c>
      <c r="E65" s="73" t="s">
        <v>73</v>
      </c>
      <c r="F65" s="71" t="s">
        <v>73</v>
      </c>
      <c r="G65" s="72" t="s">
        <v>73</v>
      </c>
      <c r="H65" s="71" t="s">
        <v>73</v>
      </c>
      <c r="I65" s="73" t="s">
        <v>73</v>
      </c>
      <c r="J65" s="71" t="s">
        <v>73</v>
      </c>
      <c r="K65" s="72" t="s">
        <v>73</v>
      </c>
      <c r="L65" s="71" t="s">
        <v>73</v>
      </c>
      <c r="M65" s="73" t="s">
        <v>73</v>
      </c>
      <c r="N65" s="71" t="s">
        <v>73</v>
      </c>
      <c r="O65" s="72" t="s">
        <v>73</v>
      </c>
      <c r="P65" s="71" t="s">
        <v>73</v>
      </c>
      <c r="Q65" s="73" t="s">
        <v>73</v>
      </c>
      <c r="R65" s="71" t="s">
        <v>73</v>
      </c>
      <c r="S65" s="72" t="s">
        <v>73</v>
      </c>
      <c r="T65" s="71" t="s">
        <v>73</v>
      </c>
      <c r="U65" s="73" t="s">
        <v>73</v>
      </c>
      <c r="V65" s="71" t="s">
        <v>73</v>
      </c>
      <c r="W65" s="72" t="s">
        <v>73</v>
      </c>
      <c r="X65" s="71" t="s">
        <v>73</v>
      </c>
      <c r="Y65" s="73" t="s">
        <v>73</v>
      </c>
      <c r="Z65" s="71" t="s">
        <v>73</v>
      </c>
      <c r="AA65" s="72" t="s">
        <v>73</v>
      </c>
      <c r="AB65" s="71" t="s">
        <v>73</v>
      </c>
      <c r="AC65" s="73" t="s">
        <v>73</v>
      </c>
      <c r="AD65" s="71" t="s">
        <v>73</v>
      </c>
      <c r="AE65" s="72" t="s">
        <v>73</v>
      </c>
      <c r="AF65" s="71" t="s">
        <v>73</v>
      </c>
      <c r="AG65" s="73" t="s">
        <v>73</v>
      </c>
      <c r="AH65" s="71" t="s">
        <v>73</v>
      </c>
      <c r="AI65" s="72" t="s">
        <v>73</v>
      </c>
      <c r="AJ65" s="71" t="s">
        <v>73</v>
      </c>
      <c r="AK65" s="73" t="s">
        <v>73</v>
      </c>
      <c r="AL65" s="71" t="s">
        <v>73</v>
      </c>
      <c r="AM65" s="72" t="s">
        <v>73</v>
      </c>
      <c r="AN65" s="71" t="s">
        <v>73</v>
      </c>
      <c r="AO65" s="73" t="s">
        <v>73</v>
      </c>
      <c r="AP65" s="71" t="s">
        <v>73</v>
      </c>
      <c r="AQ65" s="72" t="s">
        <v>73</v>
      </c>
      <c r="AR65" s="71" t="s">
        <v>73</v>
      </c>
      <c r="AS65" s="73" t="s">
        <v>73</v>
      </c>
      <c r="AT65" s="115" t="s">
        <v>73</v>
      </c>
    </row>
    <row r="66" spans="1:46" ht="15" customHeight="1" x14ac:dyDescent="0.2">
      <c r="A66" s="15" t="s">
        <v>182</v>
      </c>
      <c r="B66" s="65" t="s">
        <v>73</v>
      </c>
      <c r="C66" s="66" t="s">
        <v>73</v>
      </c>
      <c r="D66" s="67" t="s">
        <v>73</v>
      </c>
      <c r="E66" s="68" t="s">
        <v>73</v>
      </c>
      <c r="F66" s="65" t="s">
        <v>73</v>
      </c>
      <c r="G66" s="66" t="s">
        <v>73</v>
      </c>
      <c r="H66" s="67" t="s">
        <v>73</v>
      </c>
      <c r="I66" s="68" t="s">
        <v>73</v>
      </c>
      <c r="J66" s="65" t="s">
        <v>73</v>
      </c>
      <c r="K66" s="66" t="s">
        <v>73</v>
      </c>
      <c r="L66" s="67" t="s">
        <v>73</v>
      </c>
      <c r="M66" s="68" t="s">
        <v>73</v>
      </c>
      <c r="N66" s="65" t="s">
        <v>73</v>
      </c>
      <c r="O66" s="66" t="s">
        <v>73</v>
      </c>
      <c r="P66" s="67" t="s">
        <v>73</v>
      </c>
      <c r="Q66" s="68" t="s">
        <v>73</v>
      </c>
      <c r="R66" s="65" t="s">
        <v>73</v>
      </c>
      <c r="S66" s="66" t="s">
        <v>73</v>
      </c>
      <c r="T66" s="67" t="s">
        <v>73</v>
      </c>
      <c r="U66" s="68" t="s">
        <v>73</v>
      </c>
      <c r="V66" s="65" t="s">
        <v>73</v>
      </c>
      <c r="W66" s="66" t="s">
        <v>73</v>
      </c>
      <c r="X66" s="67" t="s">
        <v>73</v>
      </c>
      <c r="Y66" s="68" t="s">
        <v>73</v>
      </c>
      <c r="Z66" s="65" t="s">
        <v>73</v>
      </c>
      <c r="AA66" s="66" t="s">
        <v>73</v>
      </c>
      <c r="AB66" s="67" t="s">
        <v>73</v>
      </c>
      <c r="AC66" s="68" t="s">
        <v>73</v>
      </c>
      <c r="AD66" s="65" t="s">
        <v>73</v>
      </c>
      <c r="AE66" s="66" t="s">
        <v>73</v>
      </c>
      <c r="AF66" s="67" t="s">
        <v>73</v>
      </c>
      <c r="AG66" s="68" t="s">
        <v>73</v>
      </c>
      <c r="AH66" s="65" t="s">
        <v>73</v>
      </c>
      <c r="AI66" s="66" t="s">
        <v>73</v>
      </c>
      <c r="AJ66" s="67" t="s">
        <v>73</v>
      </c>
      <c r="AK66" s="68" t="s">
        <v>73</v>
      </c>
      <c r="AL66" s="65" t="s">
        <v>73</v>
      </c>
      <c r="AM66" s="66" t="s">
        <v>73</v>
      </c>
      <c r="AN66" s="67" t="s">
        <v>73</v>
      </c>
      <c r="AO66" s="68" t="s">
        <v>73</v>
      </c>
      <c r="AP66" s="65" t="s">
        <v>73</v>
      </c>
      <c r="AQ66" s="66" t="s">
        <v>73</v>
      </c>
      <c r="AR66" s="67" t="s">
        <v>73</v>
      </c>
      <c r="AS66" s="68" t="s">
        <v>73</v>
      </c>
    </row>
    <row r="67" spans="1:46" ht="15" customHeight="1" x14ac:dyDescent="0.2">
      <c r="A67" s="22" t="s">
        <v>183</v>
      </c>
      <c r="B67" s="65" t="s">
        <v>73</v>
      </c>
      <c r="C67" s="66" t="s">
        <v>73</v>
      </c>
      <c r="D67" s="67" t="s">
        <v>73</v>
      </c>
      <c r="E67" s="68" t="s">
        <v>73</v>
      </c>
      <c r="F67" s="65" t="s">
        <v>73</v>
      </c>
      <c r="G67" s="66" t="s">
        <v>73</v>
      </c>
      <c r="H67" s="67" t="s">
        <v>73</v>
      </c>
      <c r="I67" s="68" t="s">
        <v>73</v>
      </c>
      <c r="J67" s="65" t="s">
        <v>73</v>
      </c>
      <c r="K67" s="66" t="s">
        <v>73</v>
      </c>
      <c r="L67" s="67" t="s">
        <v>73</v>
      </c>
      <c r="M67" s="68" t="s">
        <v>73</v>
      </c>
      <c r="N67" s="65" t="s">
        <v>73</v>
      </c>
      <c r="O67" s="66" t="s">
        <v>73</v>
      </c>
      <c r="P67" s="67" t="s">
        <v>73</v>
      </c>
      <c r="Q67" s="68" t="s">
        <v>73</v>
      </c>
      <c r="R67" s="65" t="s">
        <v>73</v>
      </c>
      <c r="S67" s="66" t="s">
        <v>73</v>
      </c>
      <c r="T67" s="67" t="s">
        <v>73</v>
      </c>
      <c r="U67" s="68" t="s">
        <v>73</v>
      </c>
      <c r="V67" s="65" t="s">
        <v>73</v>
      </c>
      <c r="W67" s="66" t="s">
        <v>73</v>
      </c>
      <c r="X67" s="67" t="s">
        <v>73</v>
      </c>
      <c r="Y67" s="68" t="s">
        <v>73</v>
      </c>
      <c r="Z67" s="65" t="s">
        <v>73</v>
      </c>
      <c r="AA67" s="66" t="s">
        <v>73</v>
      </c>
      <c r="AB67" s="67" t="s">
        <v>73</v>
      </c>
      <c r="AC67" s="68" t="s">
        <v>73</v>
      </c>
      <c r="AD67" s="65" t="s">
        <v>73</v>
      </c>
      <c r="AE67" s="66" t="s">
        <v>73</v>
      </c>
      <c r="AF67" s="67" t="s">
        <v>73</v>
      </c>
      <c r="AG67" s="68" t="s">
        <v>73</v>
      </c>
      <c r="AH67" s="65" t="s">
        <v>73</v>
      </c>
      <c r="AI67" s="66" t="s">
        <v>73</v>
      </c>
      <c r="AJ67" s="67" t="s">
        <v>73</v>
      </c>
      <c r="AK67" s="68" t="s">
        <v>73</v>
      </c>
      <c r="AL67" s="65" t="s">
        <v>73</v>
      </c>
      <c r="AM67" s="66" t="s">
        <v>73</v>
      </c>
      <c r="AN67" s="67" t="s">
        <v>73</v>
      </c>
      <c r="AO67" s="68" t="s">
        <v>73</v>
      </c>
      <c r="AP67" s="65" t="s">
        <v>73</v>
      </c>
      <c r="AQ67" s="66" t="s">
        <v>73</v>
      </c>
      <c r="AR67" s="67" t="s">
        <v>73</v>
      </c>
      <c r="AS67" s="68" t="s">
        <v>73</v>
      </c>
    </row>
    <row r="68" spans="1:46" ht="15" customHeight="1" thickBot="1" x14ac:dyDescent="0.25">
      <c r="A68" s="22" t="s">
        <v>184</v>
      </c>
      <c r="B68" s="65" t="s">
        <v>73</v>
      </c>
      <c r="C68" s="66" t="s">
        <v>73</v>
      </c>
      <c r="D68" s="67" t="s">
        <v>73</v>
      </c>
      <c r="E68" s="68" t="s">
        <v>73</v>
      </c>
      <c r="F68" s="65" t="s">
        <v>73</v>
      </c>
      <c r="G68" s="66" t="s">
        <v>73</v>
      </c>
      <c r="H68" s="67" t="s">
        <v>73</v>
      </c>
      <c r="I68" s="68" t="s">
        <v>73</v>
      </c>
      <c r="J68" s="65" t="s">
        <v>73</v>
      </c>
      <c r="K68" s="66" t="s">
        <v>73</v>
      </c>
      <c r="L68" s="67" t="s">
        <v>73</v>
      </c>
      <c r="M68" s="68" t="s">
        <v>73</v>
      </c>
      <c r="N68" s="65" t="s">
        <v>73</v>
      </c>
      <c r="O68" s="66" t="s">
        <v>73</v>
      </c>
      <c r="P68" s="67" t="s">
        <v>73</v>
      </c>
      <c r="Q68" s="68" t="s">
        <v>73</v>
      </c>
      <c r="R68" s="65" t="s">
        <v>73</v>
      </c>
      <c r="S68" s="66" t="s">
        <v>73</v>
      </c>
      <c r="T68" s="67" t="s">
        <v>73</v>
      </c>
      <c r="U68" s="68" t="s">
        <v>73</v>
      </c>
      <c r="V68" s="65" t="s">
        <v>73</v>
      </c>
      <c r="W68" s="66" t="s">
        <v>73</v>
      </c>
      <c r="X68" s="67" t="s">
        <v>73</v>
      </c>
      <c r="Y68" s="68" t="s">
        <v>73</v>
      </c>
      <c r="Z68" s="65" t="s">
        <v>73</v>
      </c>
      <c r="AA68" s="66" t="s">
        <v>73</v>
      </c>
      <c r="AB68" s="67" t="s">
        <v>73</v>
      </c>
      <c r="AC68" s="68" t="s">
        <v>73</v>
      </c>
      <c r="AD68" s="65" t="s">
        <v>73</v>
      </c>
      <c r="AE68" s="66" t="s">
        <v>73</v>
      </c>
      <c r="AF68" s="67" t="s">
        <v>73</v>
      </c>
      <c r="AG68" s="68" t="s">
        <v>73</v>
      </c>
      <c r="AH68" s="65" t="s">
        <v>73</v>
      </c>
      <c r="AI68" s="66" t="s">
        <v>73</v>
      </c>
      <c r="AJ68" s="67" t="s">
        <v>73</v>
      </c>
      <c r="AK68" s="68" t="s">
        <v>73</v>
      </c>
      <c r="AL68" s="65" t="s">
        <v>73</v>
      </c>
      <c r="AM68" s="66" t="s">
        <v>73</v>
      </c>
      <c r="AN68" s="67" t="s">
        <v>73</v>
      </c>
      <c r="AO68" s="68" t="s">
        <v>73</v>
      </c>
      <c r="AP68" s="65" t="s">
        <v>73</v>
      </c>
      <c r="AQ68" s="66" t="s">
        <v>73</v>
      </c>
      <c r="AR68" s="67" t="s">
        <v>73</v>
      </c>
      <c r="AS68" s="68" t="s">
        <v>73</v>
      </c>
    </row>
    <row r="69" spans="1:46" ht="15" customHeight="1" thickBot="1" x14ac:dyDescent="0.25">
      <c r="A69" s="76" t="s">
        <v>185</v>
      </c>
      <c r="B69" s="71" t="s">
        <v>73</v>
      </c>
      <c r="C69" s="72" t="s">
        <v>73</v>
      </c>
      <c r="D69" s="71" t="s">
        <v>73</v>
      </c>
      <c r="E69" s="73" t="s">
        <v>73</v>
      </c>
      <c r="F69" s="71" t="s">
        <v>73</v>
      </c>
      <c r="G69" s="72" t="s">
        <v>73</v>
      </c>
      <c r="H69" s="71" t="s">
        <v>73</v>
      </c>
      <c r="I69" s="73" t="s">
        <v>73</v>
      </c>
      <c r="J69" s="71" t="s">
        <v>73</v>
      </c>
      <c r="K69" s="72" t="s">
        <v>73</v>
      </c>
      <c r="L69" s="71" t="s">
        <v>73</v>
      </c>
      <c r="M69" s="73" t="s">
        <v>73</v>
      </c>
      <c r="N69" s="71" t="s">
        <v>73</v>
      </c>
      <c r="O69" s="72" t="s">
        <v>73</v>
      </c>
      <c r="P69" s="71" t="s">
        <v>73</v>
      </c>
      <c r="Q69" s="73" t="s">
        <v>73</v>
      </c>
      <c r="R69" s="71" t="s">
        <v>73</v>
      </c>
      <c r="S69" s="72" t="s">
        <v>73</v>
      </c>
      <c r="T69" s="71" t="s">
        <v>73</v>
      </c>
      <c r="U69" s="73" t="s">
        <v>73</v>
      </c>
      <c r="V69" s="71" t="s">
        <v>73</v>
      </c>
      <c r="W69" s="72" t="s">
        <v>73</v>
      </c>
      <c r="X69" s="71" t="s">
        <v>73</v>
      </c>
      <c r="Y69" s="73" t="s">
        <v>73</v>
      </c>
      <c r="Z69" s="71" t="s">
        <v>73</v>
      </c>
      <c r="AA69" s="72" t="s">
        <v>73</v>
      </c>
      <c r="AB69" s="71" t="s">
        <v>73</v>
      </c>
      <c r="AC69" s="73" t="s">
        <v>73</v>
      </c>
      <c r="AD69" s="71" t="s">
        <v>73</v>
      </c>
      <c r="AE69" s="72" t="s">
        <v>73</v>
      </c>
      <c r="AF69" s="71" t="s">
        <v>73</v>
      </c>
      <c r="AG69" s="73" t="s">
        <v>73</v>
      </c>
      <c r="AH69" s="71" t="s">
        <v>73</v>
      </c>
      <c r="AI69" s="72" t="s">
        <v>73</v>
      </c>
      <c r="AJ69" s="71" t="s">
        <v>73</v>
      </c>
      <c r="AK69" s="73" t="s">
        <v>73</v>
      </c>
      <c r="AL69" s="71" t="s">
        <v>73</v>
      </c>
      <c r="AM69" s="72" t="s">
        <v>73</v>
      </c>
      <c r="AN69" s="71" t="s">
        <v>73</v>
      </c>
      <c r="AO69" s="73" t="s">
        <v>73</v>
      </c>
      <c r="AP69" s="71" t="s">
        <v>73</v>
      </c>
      <c r="AQ69" s="72" t="s">
        <v>73</v>
      </c>
      <c r="AR69" s="71" t="s">
        <v>73</v>
      </c>
      <c r="AS69" s="73" t="s">
        <v>73</v>
      </c>
      <c r="AT69" s="115" t="s">
        <v>73</v>
      </c>
    </row>
    <row r="70" spans="1:46" ht="15" customHeight="1" x14ac:dyDescent="0.2">
      <c r="A70" s="64" t="s">
        <v>318</v>
      </c>
      <c r="B70" s="65" t="s">
        <v>73</v>
      </c>
      <c r="C70" s="66" t="s">
        <v>73</v>
      </c>
      <c r="D70" s="67" t="s">
        <v>73</v>
      </c>
      <c r="E70" s="68" t="s">
        <v>73</v>
      </c>
      <c r="F70" s="65" t="s">
        <v>73</v>
      </c>
      <c r="G70" s="66" t="s">
        <v>73</v>
      </c>
      <c r="H70" s="67" t="s">
        <v>73</v>
      </c>
      <c r="I70" s="68" t="s">
        <v>73</v>
      </c>
      <c r="J70" s="65" t="s">
        <v>73</v>
      </c>
      <c r="K70" s="66" t="s">
        <v>73</v>
      </c>
      <c r="L70" s="67" t="s">
        <v>73</v>
      </c>
      <c r="M70" s="68" t="s">
        <v>73</v>
      </c>
      <c r="N70" s="65" t="s">
        <v>73</v>
      </c>
      <c r="O70" s="66" t="s">
        <v>73</v>
      </c>
      <c r="P70" s="67" t="s">
        <v>73</v>
      </c>
      <c r="Q70" s="68" t="s">
        <v>73</v>
      </c>
      <c r="R70" s="65" t="s">
        <v>73</v>
      </c>
      <c r="S70" s="66" t="s">
        <v>73</v>
      </c>
      <c r="T70" s="67" t="s">
        <v>73</v>
      </c>
      <c r="U70" s="68" t="s">
        <v>73</v>
      </c>
      <c r="V70" s="65" t="s">
        <v>73</v>
      </c>
      <c r="W70" s="66" t="s">
        <v>73</v>
      </c>
      <c r="X70" s="67" t="s">
        <v>73</v>
      </c>
      <c r="Y70" s="68" t="s">
        <v>73</v>
      </c>
      <c r="Z70" s="65" t="s">
        <v>73</v>
      </c>
      <c r="AA70" s="66" t="s">
        <v>73</v>
      </c>
      <c r="AB70" s="67" t="s">
        <v>73</v>
      </c>
      <c r="AC70" s="68" t="s">
        <v>73</v>
      </c>
      <c r="AD70" s="65" t="s">
        <v>73</v>
      </c>
      <c r="AE70" s="66" t="s">
        <v>73</v>
      </c>
      <c r="AF70" s="67" t="s">
        <v>73</v>
      </c>
      <c r="AG70" s="68" t="s">
        <v>73</v>
      </c>
      <c r="AH70" s="65" t="s">
        <v>73</v>
      </c>
      <c r="AI70" s="66" t="s">
        <v>73</v>
      </c>
      <c r="AJ70" s="67" t="s">
        <v>73</v>
      </c>
      <c r="AK70" s="68" t="s">
        <v>73</v>
      </c>
      <c r="AL70" s="65" t="s">
        <v>73</v>
      </c>
      <c r="AM70" s="66" t="s">
        <v>73</v>
      </c>
      <c r="AN70" s="67" t="s">
        <v>73</v>
      </c>
      <c r="AO70" s="68" t="s">
        <v>73</v>
      </c>
      <c r="AP70" s="65" t="s">
        <v>73</v>
      </c>
      <c r="AQ70" s="66" t="s">
        <v>73</v>
      </c>
      <c r="AR70" s="67" t="s">
        <v>73</v>
      </c>
      <c r="AS70" s="68" t="s">
        <v>73</v>
      </c>
    </row>
    <row r="71" spans="1:46" ht="15" customHeight="1" x14ac:dyDescent="0.2">
      <c r="A71" s="77" t="s">
        <v>319</v>
      </c>
      <c r="B71" s="65" t="s">
        <v>73</v>
      </c>
      <c r="C71" s="66" t="s">
        <v>73</v>
      </c>
      <c r="D71" s="67" t="s">
        <v>73</v>
      </c>
      <c r="E71" s="68" t="s">
        <v>73</v>
      </c>
      <c r="F71" s="65" t="s">
        <v>73</v>
      </c>
      <c r="G71" s="66" t="s">
        <v>73</v>
      </c>
      <c r="H71" s="67" t="s">
        <v>73</v>
      </c>
      <c r="I71" s="68" t="s">
        <v>73</v>
      </c>
      <c r="J71" s="65" t="s">
        <v>73</v>
      </c>
      <c r="K71" s="66" t="s">
        <v>73</v>
      </c>
      <c r="L71" s="67" t="s">
        <v>73</v>
      </c>
      <c r="M71" s="68" t="s">
        <v>73</v>
      </c>
      <c r="N71" s="65" t="s">
        <v>73</v>
      </c>
      <c r="O71" s="66" t="s">
        <v>73</v>
      </c>
      <c r="P71" s="67" t="s">
        <v>73</v>
      </c>
      <c r="Q71" s="68" t="s">
        <v>73</v>
      </c>
      <c r="R71" s="65" t="s">
        <v>73</v>
      </c>
      <c r="S71" s="66" t="s">
        <v>73</v>
      </c>
      <c r="T71" s="67" t="s">
        <v>73</v>
      </c>
      <c r="U71" s="68" t="s">
        <v>73</v>
      </c>
      <c r="V71" s="65" t="s">
        <v>73</v>
      </c>
      <c r="W71" s="66" t="s">
        <v>73</v>
      </c>
      <c r="X71" s="67" t="s">
        <v>73</v>
      </c>
      <c r="Y71" s="68" t="s">
        <v>73</v>
      </c>
      <c r="Z71" s="65" t="s">
        <v>73</v>
      </c>
      <c r="AA71" s="66" t="s">
        <v>73</v>
      </c>
      <c r="AB71" s="67" t="s">
        <v>73</v>
      </c>
      <c r="AC71" s="68" t="s">
        <v>73</v>
      </c>
      <c r="AD71" s="65" t="s">
        <v>73</v>
      </c>
      <c r="AE71" s="66" t="s">
        <v>73</v>
      </c>
      <c r="AF71" s="67" t="s">
        <v>73</v>
      </c>
      <c r="AG71" s="68" t="s">
        <v>73</v>
      </c>
      <c r="AH71" s="65" t="s">
        <v>73</v>
      </c>
      <c r="AI71" s="66" t="s">
        <v>73</v>
      </c>
      <c r="AJ71" s="67" t="s">
        <v>73</v>
      </c>
      <c r="AK71" s="68" t="s">
        <v>73</v>
      </c>
      <c r="AL71" s="65" t="s">
        <v>73</v>
      </c>
      <c r="AM71" s="66" t="s">
        <v>73</v>
      </c>
      <c r="AN71" s="67" t="s">
        <v>73</v>
      </c>
      <c r="AO71" s="68" t="s">
        <v>73</v>
      </c>
      <c r="AP71" s="65" t="s">
        <v>73</v>
      </c>
      <c r="AQ71" s="66" t="s">
        <v>73</v>
      </c>
      <c r="AR71" s="67" t="s">
        <v>73</v>
      </c>
      <c r="AS71" s="68" t="s">
        <v>73</v>
      </c>
    </row>
    <row r="72" spans="1:46" ht="15" customHeight="1" thickBot="1" x14ac:dyDescent="0.25">
      <c r="A72" s="77" t="s">
        <v>320</v>
      </c>
      <c r="B72" s="65" t="s">
        <v>73</v>
      </c>
      <c r="C72" s="66" t="s">
        <v>73</v>
      </c>
      <c r="D72" s="67" t="s">
        <v>73</v>
      </c>
      <c r="E72" s="68" t="s">
        <v>73</v>
      </c>
      <c r="F72" s="65" t="s">
        <v>73</v>
      </c>
      <c r="G72" s="66" t="s">
        <v>73</v>
      </c>
      <c r="H72" s="67" t="s">
        <v>73</v>
      </c>
      <c r="I72" s="68" t="s">
        <v>73</v>
      </c>
      <c r="J72" s="65" t="s">
        <v>73</v>
      </c>
      <c r="K72" s="66" t="s">
        <v>73</v>
      </c>
      <c r="L72" s="67" t="s">
        <v>73</v>
      </c>
      <c r="M72" s="68" t="s">
        <v>73</v>
      </c>
      <c r="N72" s="65" t="s">
        <v>73</v>
      </c>
      <c r="O72" s="66" t="s">
        <v>73</v>
      </c>
      <c r="P72" s="67" t="s">
        <v>73</v>
      </c>
      <c r="Q72" s="68" t="s">
        <v>73</v>
      </c>
      <c r="R72" s="65" t="s">
        <v>73</v>
      </c>
      <c r="S72" s="66" t="s">
        <v>73</v>
      </c>
      <c r="T72" s="67" t="s">
        <v>73</v>
      </c>
      <c r="U72" s="68" t="s">
        <v>73</v>
      </c>
      <c r="V72" s="65" t="s">
        <v>73</v>
      </c>
      <c r="W72" s="66" t="s">
        <v>73</v>
      </c>
      <c r="X72" s="67" t="s">
        <v>73</v>
      </c>
      <c r="Y72" s="68" t="s">
        <v>73</v>
      </c>
      <c r="Z72" s="65" t="s">
        <v>73</v>
      </c>
      <c r="AA72" s="66" t="s">
        <v>73</v>
      </c>
      <c r="AB72" s="67" t="s">
        <v>73</v>
      </c>
      <c r="AC72" s="68" t="s">
        <v>73</v>
      </c>
      <c r="AD72" s="65" t="s">
        <v>73</v>
      </c>
      <c r="AE72" s="66" t="s">
        <v>73</v>
      </c>
      <c r="AF72" s="67" t="s">
        <v>73</v>
      </c>
      <c r="AG72" s="68" t="s">
        <v>73</v>
      </c>
      <c r="AH72" s="65" t="s">
        <v>73</v>
      </c>
      <c r="AI72" s="66" t="s">
        <v>73</v>
      </c>
      <c r="AJ72" s="67" t="s">
        <v>73</v>
      </c>
      <c r="AK72" s="68" t="s">
        <v>73</v>
      </c>
      <c r="AL72" s="65" t="s">
        <v>73</v>
      </c>
      <c r="AM72" s="66" t="s">
        <v>73</v>
      </c>
      <c r="AN72" s="67" t="s">
        <v>73</v>
      </c>
      <c r="AO72" s="68" t="s">
        <v>73</v>
      </c>
      <c r="AP72" s="65" t="s">
        <v>73</v>
      </c>
      <c r="AQ72" s="66" t="s">
        <v>73</v>
      </c>
      <c r="AR72" s="67" t="s">
        <v>73</v>
      </c>
      <c r="AS72" s="68" t="s">
        <v>73</v>
      </c>
    </row>
    <row r="73" spans="1:46" ht="15" customHeight="1" thickBot="1" x14ac:dyDescent="0.25">
      <c r="A73" s="70" t="s">
        <v>321</v>
      </c>
      <c r="B73" s="71" t="s">
        <v>73</v>
      </c>
      <c r="C73" s="72" t="s">
        <v>73</v>
      </c>
      <c r="D73" s="71" t="s">
        <v>73</v>
      </c>
      <c r="E73" s="73" t="s">
        <v>73</v>
      </c>
      <c r="F73" s="71" t="s">
        <v>73</v>
      </c>
      <c r="G73" s="72" t="s">
        <v>73</v>
      </c>
      <c r="H73" s="71" t="s">
        <v>73</v>
      </c>
      <c r="I73" s="73" t="s">
        <v>73</v>
      </c>
      <c r="J73" s="71" t="s">
        <v>73</v>
      </c>
      <c r="K73" s="72" t="s">
        <v>73</v>
      </c>
      <c r="L73" s="71" t="s">
        <v>73</v>
      </c>
      <c r="M73" s="73" t="s">
        <v>73</v>
      </c>
      <c r="N73" s="71" t="s">
        <v>73</v>
      </c>
      <c r="O73" s="72" t="s">
        <v>73</v>
      </c>
      <c r="P73" s="71" t="s">
        <v>73</v>
      </c>
      <c r="Q73" s="73" t="s">
        <v>73</v>
      </c>
      <c r="R73" s="71" t="s">
        <v>73</v>
      </c>
      <c r="S73" s="72" t="s">
        <v>73</v>
      </c>
      <c r="T73" s="71" t="s">
        <v>73</v>
      </c>
      <c r="U73" s="73" t="s">
        <v>73</v>
      </c>
      <c r="V73" s="71" t="s">
        <v>73</v>
      </c>
      <c r="W73" s="72" t="s">
        <v>73</v>
      </c>
      <c r="X73" s="71" t="s">
        <v>73</v>
      </c>
      <c r="Y73" s="73" t="s">
        <v>73</v>
      </c>
      <c r="Z73" s="71" t="s">
        <v>73</v>
      </c>
      <c r="AA73" s="72" t="s">
        <v>73</v>
      </c>
      <c r="AB73" s="71" t="s">
        <v>73</v>
      </c>
      <c r="AC73" s="73" t="s">
        <v>73</v>
      </c>
      <c r="AD73" s="71" t="s">
        <v>73</v>
      </c>
      <c r="AE73" s="72" t="s">
        <v>73</v>
      </c>
      <c r="AF73" s="71" t="s">
        <v>73</v>
      </c>
      <c r="AG73" s="73" t="s">
        <v>73</v>
      </c>
      <c r="AH73" s="71" t="s">
        <v>73</v>
      </c>
      <c r="AI73" s="72" t="s">
        <v>73</v>
      </c>
      <c r="AJ73" s="71" t="s">
        <v>73</v>
      </c>
      <c r="AK73" s="73" t="s">
        <v>73</v>
      </c>
      <c r="AL73" s="71" t="s">
        <v>73</v>
      </c>
      <c r="AM73" s="72" t="s">
        <v>73</v>
      </c>
      <c r="AN73" s="71" t="s">
        <v>73</v>
      </c>
      <c r="AO73" s="73" t="s">
        <v>73</v>
      </c>
      <c r="AP73" s="71" t="s">
        <v>73</v>
      </c>
      <c r="AQ73" s="72" t="s">
        <v>73</v>
      </c>
      <c r="AR73" s="71" t="s">
        <v>73</v>
      </c>
      <c r="AS73" s="73" t="s">
        <v>73</v>
      </c>
      <c r="AT73" s="115" t="s">
        <v>73</v>
      </c>
    </row>
    <row r="74" spans="1:46" ht="15" customHeight="1" x14ac:dyDescent="0.2">
      <c r="A74" s="64" t="s">
        <v>322</v>
      </c>
      <c r="B74" s="65" t="s">
        <v>73</v>
      </c>
      <c r="C74" s="66" t="s">
        <v>73</v>
      </c>
      <c r="D74" s="67" t="s">
        <v>73</v>
      </c>
      <c r="E74" s="68" t="s">
        <v>73</v>
      </c>
      <c r="F74" s="65" t="s">
        <v>73</v>
      </c>
      <c r="G74" s="66" t="s">
        <v>73</v>
      </c>
      <c r="H74" s="67" t="s">
        <v>73</v>
      </c>
      <c r="I74" s="68" t="s">
        <v>73</v>
      </c>
      <c r="J74" s="65" t="s">
        <v>73</v>
      </c>
      <c r="K74" s="66" t="s">
        <v>73</v>
      </c>
      <c r="L74" s="67" t="s">
        <v>73</v>
      </c>
      <c r="M74" s="68" t="s">
        <v>73</v>
      </c>
      <c r="N74" s="65" t="s">
        <v>73</v>
      </c>
      <c r="O74" s="66" t="s">
        <v>73</v>
      </c>
      <c r="P74" s="67" t="s">
        <v>73</v>
      </c>
      <c r="Q74" s="68" t="s">
        <v>73</v>
      </c>
      <c r="R74" s="65" t="s">
        <v>73</v>
      </c>
      <c r="S74" s="66" t="s">
        <v>73</v>
      </c>
      <c r="T74" s="67" t="s">
        <v>73</v>
      </c>
      <c r="U74" s="68" t="s">
        <v>73</v>
      </c>
      <c r="V74" s="65" t="s">
        <v>73</v>
      </c>
      <c r="W74" s="66" t="s">
        <v>73</v>
      </c>
      <c r="X74" s="67" t="s">
        <v>73</v>
      </c>
      <c r="Y74" s="68" t="s">
        <v>73</v>
      </c>
      <c r="Z74" s="65" t="s">
        <v>73</v>
      </c>
      <c r="AA74" s="66" t="s">
        <v>73</v>
      </c>
      <c r="AB74" s="67" t="s">
        <v>73</v>
      </c>
      <c r="AC74" s="68" t="s">
        <v>73</v>
      </c>
      <c r="AD74" s="65" t="s">
        <v>73</v>
      </c>
      <c r="AE74" s="66" t="s">
        <v>73</v>
      </c>
      <c r="AF74" s="67" t="s">
        <v>73</v>
      </c>
      <c r="AG74" s="68" t="s">
        <v>73</v>
      </c>
      <c r="AH74" s="65" t="s">
        <v>73</v>
      </c>
      <c r="AI74" s="66" t="s">
        <v>73</v>
      </c>
      <c r="AJ74" s="67" t="s">
        <v>73</v>
      </c>
      <c r="AK74" s="68" t="s">
        <v>73</v>
      </c>
      <c r="AL74" s="65" t="s">
        <v>73</v>
      </c>
      <c r="AM74" s="66" t="s">
        <v>73</v>
      </c>
      <c r="AN74" s="67" t="s">
        <v>73</v>
      </c>
      <c r="AO74" s="68" t="s">
        <v>73</v>
      </c>
      <c r="AP74" s="65" t="s">
        <v>73</v>
      </c>
      <c r="AQ74" s="66" t="s">
        <v>73</v>
      </c>
      <c r="AR74" s="67" t="s">
        <v>73</v>
      </c>
      <c r="AS74" s="68" t="s">
        <v>73</v>
      </c>
    </row>
    <row r="75" spans="1:46" ht="15" customHeight="1" x14ac:dyDescent="0.2">
      <c r="A75" s="77" t="s">
        <v>323</v>
      </c>
      <c r="B75" s="65" t="s">
        <v>73</v>
      </c>
      <c r="C75" s="66" t="s">
        <v>73</v>
      </c>
      <c r="D75" s="67" t="s">
        <v>73</v>
      </c>
      <c r="E75" s="68" t="s">
        <v>73</v>
      </c>
      <c r="F75" s="65" t="s">
        <v>73</v>
      </c>
      <c r="G75" s="66" t="s">
        <v>73</v>
      </c>
      <c r="H75" s="67" t="s">
        <v>73</v>
      </c>
      <c r="I75" s="68" t="s">
        <v>73</v>
      </c>
      <c r="J75" s="65" t="s">
        <v>73</v>
      </c>
      <c r="K75" s="66" t="s">
        <v>73</v>
      </c>
      <c r="L75" s="67" t="s">
        <v>73</v>
      </c>
      <c r="M75" s="68" t="s">
        <v>73</v>
      </c>
      <c r="N75" s="65" t="s">
        <v>73</v>
      </c>
      <c r="O75" s="66" t="s">
        <v>73</v>
      </c>
      <c r="P75" s="67" t="s">
        <v>73</v>
      </c>
      <c r="Q75" s="68" t="s">
        <v>73</v>
      </c>
      <c r="R75" s="65" t="s">
        <v>73</v>
      </c>
      <c r="S75" s="66" t="s">
        <v>73</v>
      </c>
      <c r="T75" s="67" t="s">
        <v>73</v>
      </c>
      <c r="U75" s="68" t="s">
        <v>73</v>
      </c>
      <c r="V75" s="65" t="s">
        <v>73</v>
      </c>
      <c r="W75" s="66" t="s">
        <v>73</v>
      </c>
      <c r="X75" s="67" t="s">
        <v>73</v>
      </c>
      <c r="Y75" s="68" t="s">
        <v>73</v>
      </c>
      <c r="Z75" s="65" t="s">
        <v>73</v>
      </c>
      <c r="AA75" s="66" t="s">
        <v>73</v>
      </c>
      <c r="AB75" s="67" t="s">
        <v>73</v>
      </c>
      <c r="AC75" s="68" t="s">
        <v>73</v>
      </c>
      <c r="AD75" s="65" t="s">
        <v>73</v>
      </c>
      <c r="AE75" s="66" t="s">
        <v>73</v>
      </c>
      <c r="AF75" s="67" t="s">
        <v>73</v>
      </c>
      <c r="AG75" s="68" t="s">
        <v>73</v>
      </c>
      <c r="AH75" s="65" t="s">
        <v>73</v>
      </c>
      <c r="AI75" s="66" t="s">
        <v>73</v>
      </c>
      <c r="AJ75" s="67" t="s">
        <v>73</v>
      </c>
      <c r="AK75" s="68" t="s">
        <v>73</v>
      </c>
      <c r="AL75" s="65" t="s">
        <v>73</v>
      </c>
      <c r="AM75" s="66" t="s">
        <v>73</v>
      </c>
      <c r="AN75" s="67" t="s">
        <v>73</v>
      </c>
      <c r="AO75" s="68" t="s">
        <v>73</v>
      </c>
      <c r="AP75" s="65" t="s">
        <v>73</v>
      </c>
      <c r="AQ75" s="66" t="s">
        <v>73</v>
      </c>
      <c r="AR75" s="67" t="s">
        <v>73</v>
      </c>
      <c r="AS75" s="68" t="s">
        <v>73</v>
      </c>
    </row>
    <row r="76" spans="1:46" ht="15" customHeight="1" thickBot="1" x14ac:dyDescent="0.25">
      <c r="A76" s="77" t="s">
        <v>324</v>
      </c>
      <c r="B76" s="65" t="s">
        <v>73</v>
      </c>
      <c r="C76" s="66" t="s">
        <v>73</v>
      </c>
      <c r="D76" s="67" t="s">
        <v>73</v>
      </c>
      <c r="E76" s="68" t="s">
        <v>73</v>
      </c>
      <c r="F76" s="65" t="s">
        <v>73</v>
      </c>
      <c r="G76" s="66" t="s">
        <v>73</v>
      </c>
      <c r="H76" s="67" t="s">
        <v>73</v>
      </c>
      <c r="I76" s="68" t="s">
        <v>73</v>
      </c>
      <c r="J76" s="65" t="s">
        <v>73</v>
      </c>
      <c r="K76" s="66" t="s">
        <v>73</v>
      </c>
      <c r="L76" s="67" t="s">
        <v>73</v>
      </c>
      <c r="M76" s="68" t="s">
        <v>73</v>
      </c>
      <c r="N76" s="65" t="s">
        <v>73</v>
      </c>
      <c r="O76" s="66" t="s">
        <v>73</v>
      </c>
      <c r="P76" s="67" t="s">
        <v>73</v>
      </c>
      <c r="Q76" s="68" t="s">
        <v>73</v>
      </c>
      <c r="R76" s="65" t="s">
        <v>73</v>
      </c>
      <c r="S76" s="66" t="s">
        <v>73</v>
      </c>
      <c r="T76" s="67" t="s">
        <v>73</v>
      </c>
      <c r="U76" s="68" t="s">
        <v>73</v>
      </c>
      <c r="V76" s="65" t="s">
        <v>73</v>
      </c>
      <c r="W76" s="66" t="s">
        <v>73</v>
      </c>
      <c r="X76" s="67" t="s">
        <v>73</v>
      </c>
      <c r="Y76" s="68" t="s">
        <v>73</v>
      </c>
      <c r="Z76" s="65" t="s">
        <v>73</v>
      </c>
      <c r="AA76" s="66" t="s">
        <v>73</v>
      </c>
      <c r="AB76" s="67" t="s">
        <v>73</v>
      </c>
      <c r="AC76" s="68" t="s">
        <v>73</v>
      </c>
      <c r="AD76" s="65" t="s">
        <v>73</v>
      </c>
      <c r="AE76" s="66" t="s">
        <v>73</v>
      </c>
      <c r="AF76" s="67" t="s">
        <v>73</v>
      </c>
      <c r="AG76" s="68" t="s">
        <v>73</v>
      </c>
      <c r="AH76" s="65" t="s">
        <v>73</v>
      </c>
      <c r="AI76" s="66" t="s">
        <v>73</v>
      </c>
      <c r="AJ76" s="67" t="s">
        <v>73</v>
      </c>
      <c r="AK76" s="68" t="s">
        <v>73</v>
      </c>
      <c r="AL76" s="65" t="s">
        <v>73</v>
      </c>
      <c r="AM76" s="66" t="s">
        <v>73</v>
      </c>
      <c r="AN76" s="67" t="s">
        <v>73</v>
      </c>
      <c r="AO76" s="68" t="s">
        <v>73</v>
      </c>
      <c r="AP76" s="65" t="s">
        <v>73</v>
      </c>
      <c r="AQ76" s="66" t="s">
        <v>73</v>
      </c>
      <c r="AR76" s="67" t="s">
        <v>73</v>
      </c>
      <c r="AS76" s="68" t="s">
        <v>73</v>
      </c>
    </row>
    <row r="77" spans="1:46" ht="15" customHeight="1" thickBot="1" x14ac:dyDescent="0.25">
      <c r="A77" s="70" t="s">
        <v>325</v>
      </c>
      <c r="B77" s="71" t="s">
        <v>73</v>
      </c>
      <c r="C77" s="72" t="s">
        <v>73</v>
      </c>
      <c r="D77" s="71" t="s">
        <v>73</v>
      </c>
      <c r="E77" s="73" t="s">
        <v>73</v>
      </c>
      <c r="F77" s="71" t="s">
        <v>73</v>
      </c>
      <c r="G77" s="72" t="s">
        <v>73</v>
      </c>
      <c r="H77" s="71" t="s">
        <v>73</v>
      </c>
      <c r="I77" s="73" t="s">
        <v>73</v>
      </c>
      <c r="J77" s="71" t="s">
        <v>73</v>
      </c>
      <c r="K77" s="72" t="s">
        <v>73</v>
      </c>
      <c r="L77" s="71" t="s">
        <v>73</v>
      </c>
      <c r="M77" s="73" t="s">
        <v>73</v>
      </c>
      <c r="N77" s="71" t="s">
        <v>73</v>
      </c>
      <c r="O77" s="72" t="s">
        <v>73</v>
      </c>
      <c r="P77" s="71" t="s">
        <v>73</v>
      </c>
      <c r="Q77" s="73" t="s">
        <v>73</v>
      </c>
      <c r="R77" s="71" t="s">
        <v>73</v>
      </c>
      <c r="S77" s="72" t="s">
        <v>73</v>
      </c>
      <c r="T77" s="71" t="s">
        <v>73</v>
      </c>
      <c r="U77" s="73" t="s">
        <v>73</v>
      </c>
      <c r="V77" s="71" t="s">
        <v>73</v>
      </c>
      <c r="W77" s="72" t="s">
        <v>73</v>
      </c>
      <c r="X77" s="71" t="s">
        <v>73</v>
      </c>
      <c r="Y77" s="73" t="s">
        <v>73</v>
      </c>
      <c r="Z77" s="71" t="s">
        <v>73</v>
      </c>
      <c r="AA77" s="72" t="s">
        <v>73</v>
      </c>
      <c r="AB77" s="71" t="s">
        <v>73</v>
      </c>
      <c r="AC77" s="73" t="s">
        <v>73</v>
      </c>
      <c r="AD77" s="71" t="s">
        <v>73</v>
      </c>
      <c r="AE77" s="72" t="s">
        <v>73</v>
      </c>
      <c r="AF77" s="71" t="s">
        <v>73</v>
      </c>
      <c r="AG77" s="73" t="s">
        <v>73</v>
      </c>
      <c r="AH77" s="71" t="s">
        <v>73</v>
      </c>
      <c r="AI77" s="72" t="s">
        <v>73</v>
      </c>
      <c r="AJ77" s="71" t="s">
        <v>73</v>
      </c>
      <c r="AK77" s="73" t="s">
        <v>73</v>
      </c>
      <c r="AL77" s="71" t="s">
        <v>73</v>
      </c>
      <c r="AM77" s="72" t="s">
        <v>73</v>
      </c>
      <c r="AN77" s="71" t="s">
        <v>73</v>
      </c>
      <c r="AO77" s="73" t="s">
        <v>73</v>
      </c>
      <c r="AP77" s="71" t="s">
        <v>73</v>
      </c>
      <c r="AQ77" s="72" t="s">
        <v>73</v>
      </c>
      <c r="AR77" s="71" t="s">
        <v>73</v>
      </c>
      <c r="AS77" s="73" t="s">
        <v>73</v>
      </c>
      <c r="AT77" s="115" t="s">
        <v>73</v>
      </c>
    </row>
    <row r="78" spans="1:46" ht="15" customHeight="1" x14ac:dyDescent="0.2">
      <c r="A78" s="64" t="s">
        <v>423</v>
      </c>
      <c r="B78" s="65" t="s">
        <v>73</v>
      </c>
      <c r="C78" s="66" t="s">
        <v>73</v>
      </c>
      <c r="D78" s="67" t="s">
        <v>73</v>
      </c>
      <c r="E78" s="68" t="s">
        <v>73</v>
      </c>
      <c r="F78" s="65" t="s">
        <v>73</v>
      </c>
      <c r="G78" s="66" t="s">
        <v>73</v>
      </c>
      <c r="H78" s="67" t="s">
        <v>73</v>
      </c>
      <c r="I78" s="68" t="s">
        <v>73</v>
      </c>
      <c r="J78" s="65" t="s">
        <v>73</v>
      </c>
      <c r="K78" s="66" t="s">
        <v>73</v>
      </c>
      <c r="L78" s="67" t="s">
        <v>73</v>
      </c>
      <c r="M78" s="68" t="s">
        <v>73</v>
      </c>
      <c r="N78" s="65" t="s">
        <v>73</v>
      </c>
      <c r="O78" s="66" t="s">
        <v>73</v>
      </c>
      <c r="P78" s="67" t="s">
        <v>73</v>
      </c>
      <c r="Q78" s="68" t="s">
        <v>73</v>
      </c>
      <c r="R78" s="65" t="s">
        <v>73</v>
      </c>
      <c r="S78" s="66" t="s">
        <v>73</v>
      </c>
      <c r="T78" s="67" t="s">
        <v>73</v>
      </c>
      <c r="U78" s="68" t="s">
        <v>73</v>
      </c>
      <c r="V78" s="65" t="s">
        <v>73</v>
      </c>
      <c r="W78" s="66" t="s">
        <v>73</v>
      </c>
      <c r="X78" s="67" t="s">
        <v>73</v>
      </c>
      <c r="Y78" s="68" t="s">
        <v>73</v>
      </c>
      <c r="Z78" s="65" t="s">
        <v>73</v>
      </c>
      <c r="AA78" s="66" t="s">
        <v>73</v>
      </c>
      <c r="AB78" s="67" t="s">
        <v>73</v>
      </c>
      <c r="AC78" s="68" t="s">
        <v>73</v>
      </c>
      <c r="AD78" s="65" t="s">
        <v>73</v>
      </c>
      <c r="AE78" s="66" t="s">
        <v>73</v>
      </c>
      <c r="AF78" s="67" t="s">
        <v>73</v>
      </c>
      <c r="AG78" s="68" t="s">
        <v>73</v>
      </c>
      <c r="AH78" s="65" t="s">
        <v>73</v>
      </c>
      <c r="AI78" s="66" t="s">
        <v>73</v>
      </c>
      <c r="AJ78" s="67" t="s">
        <v>73</v>
      </c>
      <c r="AK78" s="68" t="s">
        <v>73</v>
      </c>
      <c r="AL78" s="65" t="s">
        <v>73</v>
      </c>
      <c r="AM78" s="66" t="s">
        <v>73</v>
      </c>
      <c r="AN78" s="67" t="s">
        <v>73</v>
      </c>
      <c r="AO78" s="68" t="s">
        <v>73</v>
      </c>
      <c r="AP78" s="65" t="s">
        <v>73</v>
      </c>
      <c r="AQ78" s="66" t="s">
        <v>73</v>
      </c>
      <c r="AR78" s="67" t="s">
        <v>73</v>
      </c>
      <c r="AS78" s="68" t="s">
        <v>73</v>
      </c>
    </row>
    <row r="79" spans="1:46" ht="15" customHeight="1" x14ac:dyDescent="0.2">
      <c r="A79" s="77" t="s">
        <v>424</v>
      </c>
      <c r="B79" s="65" t="s">
        <v>73</v>
      </c>
      <c r="C79" s="66" t="s">
        <v>73</v>
      </c>
      <c r="D79" s="67" t="s">
        <v>73</v>
      </c>
      <c r="E79" s="68" t="s">
        <v>73</v>
      </c>
      <c r="F79" s="65" t="s">
        <v>73</v>
      </c>
      <c r="G79" s="66" t="s">
        <v>73</v>
      </c>
      <c r="H79" s="67" t="s">
        <v>73</v>
      </c>
      <c r="I79" s="68" t="s">
        <v>73</v>
      </c>
      <c r="J79" s="65" t="s">
        <v>73</v>
      </c>
      <c r="K79" s="66" t="s">
        <v>73</v>
      </c>
      <c r="L79" s="67" t="s">
        <v>73</v>
      </c>
      <c r="M79" s="68" t="s">
        <v>73</v>
      </c>
      <c r="N79" s="65" t="s">
        <v>73</v>
      </c>
      <c r="O79" s="66" t="s">
        <v>73</v>
      </c>
      <c r="P79" s="67" t="s">
        <v>73</v>
      </c>
      <c r="Q79" s="68" t="s">
        <v>73</v>
      </c>
      <c r="R79" s="65" t="s">
        <v>73</v>
      </c>
      <c r="S79" s="66" t="s">
        <v>73</v>
      </c>
      <c r="T79" s="67" t="s">
        <v>73</v>
      </c>
      <c r="U79" s="68" t="s">
        <v>73</v>
      </c>
      <c r="V79" s="65" t="s">
        <v>73</v>
      </c>
      <c r="W79" s="66" t="s">
        <v>73</v>
      </c>
      <c r="X79" s="67" t="s">
        <v>73</v>
      </c>
      <c r="Y79" s="68" t="s">
        <v>73</v>
      </c>
      <c r="Z79" s="65" t="s">
        <v>73</v>
      </c>
      <c r="AA79" s="66" t="s">
        <v>73</v>
      </c>
      <c r="AB79" s="67" t="s">
        <v>73</v>
      </c>
      <c r="AC79" s="68" t="s">
        <v>73</v>
      </c>
      <c r="AD79" s="65" t="s">
        <v>73</v>
      </c>
      <c r="AE79" s="66" t="s">
        <v>73</v>
      </c>
      <c r="AF79" s="67" t="s">
        <v>73</v>
      </c>
      <c r="AG79" s="68" t="s">
        <v>73</v>
      </c>
      <c r="AH79" s="65" t="s">
        <v>73</v>
      </c>
      <c r="AI79" s="66" t="s">
        <v>73</v>
      </c>
      <c r="AJ79" s="67" t="s">
        <v>73</v>
      </c>
      <c r="AK79" s="68" t="s">
        <v>73</v>
      </c>
      <c r="AL79" s="65" t="s">
        <v>73</v>
      </c>
      <c r="AM79" s="66" t="s">
        <v>73</v>
      </c>
      <c r="AN79" s="67" t="s">
        <v>73</v>
      </c>
      <c r="AO79" s="68" t="s">
        <v>73</v>
      </c>
      <c r="AP79" s="65" t="s">
        <v>73</v>
      </c>
      <c r="AQ79" s="66" t="s">
        <v>73</v>
      </c>
      <c r="AR79" s="67" t="s">
        <v>73</v>
      </c>
      <c r="AS79" s="68" t="s">
        <v>73</v>
      </c>
    </row>
    <row r="80" spans="1:46" ht="15" customHeight="1" thickBot="1" x14ac:dyDescent="0.25">
      <c r="A80" s="77" t="s">
        <v>425</v>
      </c>
      <c r="B80" s="65" t="s">
        <v>73</v>
      </c>
      <c r="C80" s="66" t="s">
        <v>73</v>
      </c>
      <c r="D80" s="67" t="s">
        <v>73</v>
      </c>
      <c r="E80" s="68" t="s">
        <v>73</v>
      </c>
      <c r="F80" s="65" t="s">
        <v>73</v>
      </c>
      <c r="G80" s="66" t="s">
        <v>73</v>
      </c>
      <c r="H80" s="67" t="s">
        <v>73</v>
      </c>
      <c r="I80" s="68" t="s">
        <v>73</v>
      </c>
      <c r="J80" s="65" t="s">
        <v>73</v>
      </c>
      <c r="K80" s="66" t="s">
        <v>73</v>
      </c>
      <c r="L80" s="67" t="s">
        <v>73</v>
      </c>
      <c r="M80" s="68" t="s">
        <v>73</v>
      </c>
      <c r="N80" s="65" t="s">
        <v>73</v>
      </c>
      <c r="O80" s="66" t="s">
        <v>73</v>
      </c>
      <c r="P80" s="67" t="s">
        <v>73</v>
      </c>
      <c r="Q80" s="68" t="s">
        <v>73</v>
      </c>
      <c r="R80" s="65" t="s">
        <v>73</v>
      </c>
      <c r="S80" s="66" t="s">
        <v>73</v>
      </c>
      <c r="T80" s="67" t="s">
        <v>73</v>
      </c>
      <c r="U80" s="68" t="s">
        <v>73</v>
      </c>
      <c r="V80" s="65" t="s">
        <v>73</v>
      </c>
      <c r="W80" s="66" t="s">
        <v>73</v>
      </c>
      <c r="X80" s="67" t="s">
        <v>73</v>
      </c>
      <c r="Y80" s="68" t="s">
        <v>73</v>
      </c>
      <c r="Z80" s="65" t="s">
        <v>73</v>
      </c>
      <c r="AA80" s="66" t="s">
        <v>73</v>
      </c>
      <c r="AB80" s="67" t="s">
        <v>73</v>
      </c>
      <c r="AC80" s="68" t="s">
        <v>73</v>
      </c>
      <c r="AD80" s="65" t="s">
        <v>73</v>
      </c>
      <c r="AE80" s="66" t="s">
        <v>73</v>
      </c>
      <c r="AF80" s="67" t="s">
        <v>73</v>
      </c>
      <c r="AG80" s="68" t="s">
        <v>73</v>
      </c>
      <c r="AH80" s="65" t="s">
        <v>73</v>
      </c>
      <c r="AI80" s="66" t="s">
        <v>73</v>
      </c>
      <c r="AJ80" s="67" t="s">
        <v>73</v>
      </c>
      <c r="AK80" s="68" t="s">
        <v>73</v>
      </c>
      <c r="AL80" s="65" t="s">
        <v>73</v>
      </c>
      <c r="AM80" s="66" t="s">
        <v>73</v>
      </c>
      <c r="AN80" s="67" t="s">
        <v>73</v>
      </c>
      <c r="AO80" s="68" t="s">
        <v>73</v>
      </c>
      <c r="AP80" s="65" t="s">
        <v>73</v>
      </c>
      <c r="AQ80" s="66" t="s">
        <v>73</v>
      </c>
      <c r="AR80" s="67" t="s">
        <v>73</v>
      </c>
      <c r="AS80" s="68" t="s">
        <v>73</v>
      </c>
    </row>
    <row r="81" spans="1:46" ht="15" customHeight="1" thickBot="1" x14ac:dyDescent="0.25">
      <c r="A81" s="70" t="s">
        <v>426</v>
      </c>
      <c r="B81" s="71" t="s">
        <v>73</v>
      </c>
      <c r="C81" s="72" t="s">
        <v>73</v>
      </c>
      <c r="D81" s="71" t="s">
        <v>73</v>
      </c>
      <c r="E81" s="73" t="s">
        <v>73</v>
      </c>
      <c r="F81" s="71" t="s">
        <v>73</v>
      </c>
      <c r="G81" s="72" t="s">
        <v>73</v>
      </c>
      <c r="H81" s="71" t="s">
        <v>73</v>
      </c>
      <c r="I81" s="73" t="s">
        <v>73</v>
      </c>
      <c r="J81" s="71" t="s">
        <v>73</v>
      </c>
      <c r="K81" s="72" t="s">
        <v>73</v>
      </c>
      <c r="L81" s="71" t="s">
        <v>73</v>
      </c>
      <c r="M81" s="73" t="s">
        <v>73</v>
      </c>
      <c r="N81" s="71" t="s">
        <v>73</v>
      </c>
      <c r="O81" s="72" t="s">
        <v>73</v>
      </c>
      <c r="P81" s="71" t="s">
        <v>73</v>
      </c>
      <c r="Q81" s="73" t="s">
        <v>73</v>
      </c>
      <c r="R81" s="71" t="s">
        <v>73</v>
      </c>
      <c r="S81" s="72" t="s">
        <v>73</v>
      </c>
      <c r="T81" s="71" t="s">
        <v>73</v>
      </c>
      <c r="U81" s="73" t="s">
        <v>73</v>
      </c>
      <c r="V81" s="71" t="s">
        <v>73</v>
      </c>
      <c r="W81" s="72" t="s">
        <v>73</v>
      </c>
      <c r="X81" s="71" t="s">
        <v>73</v>
      </c>
      <c r="Y81" s="73" t="s">
        <v>73</v>
      </c>
      <c r="Z81" s="71" t="s">
        <v>73</v>
      </c>
      <c r="AA81" s="72" t="s">
        <v>73</v>
      </c>
      <c r="AB81" s="71" t="s">
        <v>73</v>
      </c>
      <c r="AC81" s="73" t="s">
        <v>73</v>
      </c>
      <c r="AD81" s="71" t="s">
        <v>73</v>
      </c>
      <c r="AE81" s="72" t="s">
        <v>73</v>
      </c>
      <c r="AF81" s="71" t="s">
        <v>73</v>
      </c>
      <c r="AG81" s="73" t="s">
        <v>73</v>
      </c>
      <c r="AH81" s="71" t="s">
        <v>73</v>
      </c>
      <c r="AI81" s="72" t="s">
        <v>73</v>
      </c>
      <c r="AJ81" s="71" t="s">
        <v>73</v>
      </c>
      <c r="AK81" s="73" t="s">
        <v>73</v>
      </c>
      <c r="AL81" s="71" t="s">
        <v>73</v>
      </c>
      <c r="AM81" s="72" t="s">
        <v>73</v>
      </c>
      <c r="AN81" s="71" t="s">
        <v>73</v>
      </c>
      <c r="AO81" s="73" t="s">
        <v>73</v>
      </c>
      <c r="AP81" s="71" t="s">
        <v>73</v>
      </c>
      <c r="AQ81" s="72" t="s">
        <v>73</v>
      </c>
      <c r="AR81" s="71" t="s">
        <v>73</v>
      </c>
      <c r="AS81" s="73" t="s">
        <v>73</v>
      </c>
      <c r="AT81" s="115" t="s">
        <v>73</v>
      </c>
    </row>
    <row r="82" spans="1:46" ht="15" customHeight="1" x14ac:dyDescent="0.2">
      <c r="A82" s="64" t="s">
        <v>508</v>
      </c>
      <c r="B82" s="65" t="s">
        <v>73</v>
      </c>
      <c r="C82" s="66" t="s">
        <v>73</v>
      </c>
      <c r="D82" s="67" t="s">
        <v>73</v>
      </c>
      <c r="E82" s="68" t="s">
        <v>73</v>
      </c>
      <c r="F82" s="65" t="s">
        <v>73</v>
      </c>
      <c r="G82" s="66" t="s">
        <v>73</v>
      </c>
      <c r="H82" s="67" t="s">
        <v>73</v>
      </c>
      <c r="I82" s="68" t="s">
        <v>73</v>
      </c>
      <c r="J82" s="65" t="s">
        <v>73</v>
      </c>
      <c r="K82" s="66" t="s">
        <v>73</v>
      </c>
      <c r="L82" s="67" t="s">
        <v>73</v>
      </c>
      <c r="M82" s="68" t="s">
        <v>73</v>
      </c>
      <c r="N82" s="65" t="s">
        <v>73</v>
      </c>
      <c r="O82" s="66" t="s">
        <v>73</v>
      </c>
      <c r="P82" s="67" t="s">
        <v>73</v>
      </c>
      <c r="Q82" s="68" t="s">
        <v>73</v>
      </c>
      <c r="R82" s="65" t="s">
        <v>73</v>
      </c>
      <c r="S82" s="66" t="s">
        <v>73</v>
      </c>
      <c r="T82" s="67" t="s">
        <v>73</v>
      </c>
      <c r="U82" s="68" t="s">
        <v>73</v>
      </c>
      <c r="V82" s="65" t="s">
        <v>73</v>
      </c>
      <c r="W82" s="66" t="s">
        <v>73</v>
      </c>
      <c r="X82" s="67" t="s">
        <v>73</v>
      </c>
      <c r="Y82" s="68" t="s">
        <v>73</v>
      </c>
      <c r="Z82" s="65" t="s">
        <v>73</v>
      </c>
      <c r="AA82" s="66" t="s">
        <v>73</v>
      </c>
      <c r="AB82" s="67" t="s">
        <v>73</v>
      </c>
      <c r="AC82" s="68" t="s">
        <v>73</v>
      </c>
      <c r="AD82" s="65" t="s">
        <v>73</v>
      </c>
      <c r="AE82" s="66" t="s">
        <v>73</v>
      </c>
      <c r="AF82" s="67" t="s">
        <v>73</v>
      </c>
      <c r="AG82" s="68" t="s">
        <v>73</v>
      </c>
      <c r="AH82" s="65" t="s">
        <v>73</v>
      </c>
      <c r="AI82" s="66" t="s">
        <v>73</v>
      </c>
      <c r="AJ82" s="67" t="s">
        <v>73</v>
      </c>
      <c r="AK82" s="68" t="s">
        <v>73</v>
      </c>
      <c r="AL82" s="65" t="s">
        <v>73</v>
      </c>
      <c r="AM82" s="66" t="s">
        <v>73</v>
      </c>
      <c r="AN82" s="67" t="s">
        <v>73</v>
      </c>
      <c r="AO82" s="68" t="s">
        <v>73</v>
      </c>
      <c r="AP82" s="65" t="s">
        <v>73</v>
      </c>
      <c r="AQ82" s="66" t="s">
        <v>73</v>
      </c>
      <c r="AR82" s="67" t="s">
        <v>73</v>
      </c>
      <c r="AS82" s="68" t="s">
        <v>73</v>
      </c>
    </row>
    <row r="83" spans="1:46" ht="15" customHeight="1" x14ac:dyDescent="0.2">
      <c r="A83" s="77" t="s">
        <v>509</v>
      </c>
      <c r="B83" s="65" t="s">
        <v>73</v>
      </c>
      <c r="C83" s="66" t="s">
        <v>73</v>
      </c>
      <c r="D83" s="67" t="s">
        <v>73</v>
      </c>
      <c r="E83" s="68" t="s">
        <v>73</v>
      </c>
      <c r="F83" s="65" t="s">
        <v>73</v>
      </c>
      <c r="G83" s="66" t="s">
        <v>73</v>
      </c>
      <c r="H83" s="67" t="s">
        <v>73</v>
      </c>
      <c r="I83" s="68" t="s">
        <v>73</v>
      </c>
      <c r="J83" s="65" t="s">
        <v>73</v>
      </c>
      <c r="K83" s="66" t="s">
        <v>73</v>
      </c>
      <c r="L83" s="67" t="s">
        <v>73</v>
      </c>
      <c r="M83" s="68" t="s">
        <v>73</v>
      </c>
      <c r="N83" s="65" t="s">
        <v>73</v>
      </c>
      <c r="O83" s="66" t="s">
        <v>73</v>
      </c>
      <c r="P83" s="67" t="s">
        <v>73</v>
      </c>
      <c r="Q83" s="68" t="s">
        <v>73</v>
      </c>
      <c r="R83" s="65" t="s">
        <v>73</v>
      </c>
      <c r="S83" s="66" t="s">
        <v>73</v>
      </c>
      <c r="T83" s="67" t="s">
        <v>73</v>
      </c>
      <c r="U83" s="68" t="s">
        <v>73</v>
      </c>
      <c r="V83" s="65" t="s">
        <v>73</v>
      </c>
      <c r="W83" s="66" t="s">
        <v>73</v>
      </c>
      <c r="X83" s="67" t="s">
        <v>73</v>
      </c>
      <c r="Y83" s="68" t="s">
        <v>73</v>
      </c>
      <c r="Z83" s="65" t="s">
        <v>73</v>
      </c>
      <c r="AA83" s="66" t="s">
        <v>73</v>
      </c>
      <c r="AB83" s="67" t="s">
        <v>73</v>
      </c>
      <c r="AC83" s="68" t="s">
        <v>73</v>
      </c>
      <c r="AD83" s="65" t="s">
        <v>73</v>
      </c>
      <c r="AE83" s="66" t="s">
        <v>73</v>
      </c>
      <c r="AF83" s="67" t="s">
        <v>73</v>
      </c>
      <c r="AG83" s="68" t="s">
        <v>73</v>
      </c>
      <c r="AH83" s="65" t="s">
        <v>73</v>
      </c>
      <c r="AI83" s="66" t="s">
        <v>73</v>
      </c>
      <c r="AJ83" s="67" t="s">
        <v>73</v>
      </c>
      <c r="AK83" s="68" t="s">
        <v>73</v>
      </c>
      <c r="AL83" s="65" t="s">
        <v>73</v>
      </c>
      <c r="AM83" s="66" t="s">
        <v>73</v>
      </c>
      <c r="AN83" s="67" t="s">
        <v>73</v>
      </c>
      <c r="AO83" s="68" t="s">
        <v>73</v>
      </c>
      <c r="AP83" s="65" t="s">
        <v>73</v>
      </c>
      <c r="AQ83" s="66" t="s">
        <v>73</v>
      </c>
      <c r="AR83" s="67" t="s">
        <v>73</v>
      </c>
      <c r="AS83" s="68" t="s">
        <v>73</v>
      </c>
    </row>
    <row r="84" spans="1:46" ht="15" customHeight="1" thickBot="1" x14ac:dyDescent="0.25">
      <c r="A84" s="77" t="s">
        <v>510</v>
      </c>
      <c r="B84" s="65" t="s">
        <v>73</v>
      </c>
      <c r="C84" s="66" t="s">
        <v>73</v>
      </c>
      <c r="D84" s="67" t="s">
        <v>73</v>
      </c>
      <c r="E84" s="68" t="s">
        <v>73</v>
      </c>
      <c r="F84" s="65" t="s">
        <v>73</v>
      </c>
      <c r="G84" s="66" t="s">
        <v>73</v>
      </c>
      <c r="H84" s="67" t="s">
        <v>73</v>
      </c>
      <c r="I84" s="68" t="s">
        <v>73</v>
      </c>
      <c r="J84" s="65" t="s">
        <v>73</v>
      </c>
      <c r="K84" s="66" t="s">
        <v>73</v>
      </c>
      <c r="L84" s="67" t="s">
        <v>73</v>
      </c>
      <c r="M84" s="68" t="s">
        <v>73</v>
      </c>
      <c r="N84" s="65" t="s">
        <v>73</v>
      </c>
      <c r="O84" s="66" t="s">
        <v>73</v>
      </c>
      <c r="P84" s="67" t="s">
        <v>73</v>
      </c>
      <c r="Q84" s="68" t="s">
        <v>73</v>
      </c>
      <c r="R84" s="65" t="s">
        <v>73</v>
      </c>
      <c r="S84" s="66" t="s">
        <v>73</v>
      </c>
      <c r="T84" s="67" t="s">
        <v>73</v>
      </c>
      <c r="U84" s="68" t="s">
        <v>73</v>
      </c>
      <c r="V84" s="65" t="s">
        <v>73</v>
      </c>
      <c r="W84" s="66" t="s">
        <v>73</v>
      </c>
      <c r="X84" s="67" t="s">
        <v>73</v>
      </c>
      <c r="Y84" s="68" t="s">
        <v>73</v>
      </c>
      <c r="Z84" s="65" t="s">
        <v>73</v>
      </c>
      <c r="AA84" s="66" t="s">
        <v>73</v>
      </c>
      <c r="AB84" s="67" t="s">
        <v>73</v>
      </c>
      <c r="AC84" s="68" t="s">
        <v>73</v>
      </c>
      <c r="AD84" s="65" t="s">
        <v>73</v>
      </c>
      <c r="AE84" s="66" t="s">
        <v>73</v>
      </c>
      <c r="AF84" s="67" t="s">
        <v>73</v>
      </c>
      <c r="AG84" s="68" t="s">
        <v>73</v>
      </c>
      <c r="AH84" s="65" t="s">
        <v>73</v>
      </c>
      <c r="AI84" s="66" t="s">
        <v>73</v>
      </c>
      <c r="AJ84" s="67" t="s">
        <v>73</v>
      </c>
      <c r="AK84" s="68" t="s">
        <v>73</v>
      </c>
      <c r="AL84" s="65" t="s">
        <v>73</v>
      </c>
      <c r="AM84" s="66" t="s">
        <v>73</v>
      </c>
      <c r="AN84" s="67" t="s">
        <v>73</v>
      </c>
      <c r="AO84" s="68" t="s">
        <v>73</v>
      </c>
      <c r="AP84" s="65" t="s">
        <v>73</v>
      </c>
      <c r="AQ84" s="66" t="s">
        <v>73</v>
      </c>
      <c r="AR84" s="67" t="s">
        <v>73</v>
      </c>
      <c r="AS84" s="68" t="s">
        <v>73</v>
      </c>
    </row>
    <row r="85" spans="1:46" ht="15" customHeight="1" thickBot="1" x14ac:dyDescent="0.25">
      <c r="A85" s="70" t="s">
        <v>511</v>
      </c>
      <c r="B85" s="71" t="s">
        <v>73</v>
      </c>
      <c r="C85" s="72" t="s">
        <v>73</v>
      </c>
      <c r="D85" s="71" t="s">
        <v>73</v>
      </c>
      <c r="E85" s="73" t="s">
        <v>73</v>
      </c>
      <c r="F85" s="71" t="s">
        <v>73</v>
      </c>
      <c r="G85" s="72" t="s">
        <v>73</v>
      </c>
      <c r="H85" s="71" t="s">
        <v>73</v>
      </c>
      <c r="I85" s="73" t="s">
        <v>73</v>
      </c>
      <c r="J85" s="71" t="s">
        <v>73</v>
      </c>
      <c r="K85" s="72" t="s">
        <v>73</v>
      </c>
      <c r="L85" s="71" t="s">
        <v>73</v>
      </c>
      <c r="M85" s="73" t="s">
        <v>73</v>
      </c>
      <c r="N85" s="71" t="s">
        <v>73</v>
      </c>
      <c r="O85" s="72" t="s">
        <v>73</v>
      </c>
      <c r="P85" s="71" t="s">
        <v>73</v>
      </c>
      <c r="Q85" s="73" t="s">
        <v>73</v>
      </c>
      <c r="R85" s="71" t="s">
        <v>73</v>
      </c>
      <c r="S85" s="72" t="s">
        <v>73</v>
      </c>
      <c r="T85" s="71" t="s">
        <v>73</v>
      </c>
      <c r="U85" s="73" t="s">
        <v>73</v>
      </c>
      <c r="V85" s="71" t="s">
        <v>73</v>
      </c>
      <c r="W85" s="72" t="s">
        <v>73</v>
      </c>
      <c r="X85" s="71" t="s">
        <v>73</v>
      </c>
      <c r="Y85" s="73" t="s">
        <v>73</v>
      </c>
      <c r="Z85" s="71" t="s">
        <v>73</v>
      </c>
      <c r="AA85" s="72" t="s">
        <v>73</v>
      </c>
      <c r="AB85" s="71" t="s">
        <v>73</v>
      </c>
      <c r="AC85" s="73" t="s">
        <v>73</v>
      </c>
      <c r="AD85" s="71" t="s">
        <v>73</v>
      </c>
      <c r="AE85" s="72" t="s">
        <v>73</v>
      </c>
      <c r="AF85" s="71" t="s">
        <v>73</v>
      </c>
      <c r="AG85" s="73" t="s">
        <v>73</v>
      </c>
      <c r="AH85" s="71" t="s">
        <v>73</v>
      </c>
      <c r="AI85" s="72" t="s">
        <v>73</v>
      </c>
      <c r="AJ85" s="71" t="s">
        <v>73</v>
      </c>
      <c r="AK85" s="73" t="s">
        <v>73</v>
      </c>
      <c r="AL85" s="71" t="s">
        <v>73</v>
      </c>
      <c r="AM85" s="72" t="s">
        <v>73</v>
      </c>
      <c r="AN85" s="71" t="s">
        <v>73</v>
      </c>
      <c r="AO85" s="73" t="s">
        <v>73</v>
      </c>
      <c r="AP85" s="71" t="s">
        <v>73</v>
      </c>
      <c r="AQ85" s="72" t="s">
        <v>73</v>
      </c>
      <c r="AR85" s="71" t="s">
        <v>73</v>
      </c>
      <c r="AS85" s="73" t="s">
        <v>73</v>
      </c>
      <c r="AT85" s="115" t="s">
        <v>73</v>
      </c>
    </row>
    <row r="86" spans="1:46" ht="15" customHeight="1" x14ac:dyDescent="0.2">
      <c r="C86" s="21"/>
      <c r="E86" s="21"/>
      <c r="G86" s="21"/>
      <c r="I86" s="21"/>
      <c r="K86" s="21"/>
      <c r="M86" s="21"/>
      <c r="O86" s="21"/>
      <c r="Q86" s="21"/>
      <c r="S86" s="21"/>
      <c r="U86" s="21"/>
      <c r="W86" s="21"/>
      <c r="Y86" s="21"/>
      <c r="AA86" s="21"/>
      <c r="AC86" s="21"/>
      <c r="AE86" s="21"/>
      <c r="AG86" s="21"/>
      <c r="AI86" s="21"/>
      <c r="AK86" s="21"/>
      <c r="AM86" s="21"/>
      <c r="AO86" s="21"/>
      <c r="AQ86" s="21"/>
      <c r="AS86" s="21"/>
    </row>
    <row r="87" spans="1:46" ht="12.75" customHeight="1" x14ac:dyDescent="0.2"/>
    <row r="88" spans="1:46" ht="12.75" customHeight="1" x14ac:dyDescent="0.2"/>
    <row r="89" spans="1:46" ht="12.75" customHeight="1" x14ac:dyDescent="0.2"/>
    <row r="90" spans="1:46" ht="12.75" customHeight="1" x14ac:dyDescent="0.2"/>
    <row r="91" spans="1:46" ht="12.75" customHeight="1" x14ac:dyDescent="0.2"/>
    <row r="92" spans="1:46" ht="12.75" customHeight="1" x14ac:dyDescent="0.2"/>
    <row r="93" spans="1:46" ht="12.75" customHeight="1" x14ac:dyDescent="0.2"/>
    <row r="94" spans="1:46" ht="12.75" customHeight="1" x14ac:dyDescent="0.2"/>
    <row r="95" spans="1:46" ht="12.75" customHeight="1" x14ac:dyDescent="0.2"/>
    <row r="96" spans="1:4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</sheetData>
  <sheetProtection insertColumns="0" insertRows="0" deleteColumns="0" deleteRows="0" selectLockedCells="1" selectUnlockedCells="1"/>
  <phoneticPr fontId="0" type="noConversion"/>
  <dataValidations count="2">
    <dataValidation allowBlank="1" showInputMessage="1" showErrorMessage="1" errorTitle="onjuiste naam invoer" error="Klik op het pijltje naast de cel om een geldige naam te selecteren." sqref="AU31:AU32 AU27:AU28 AQ2:AQ3 AU35:AU36 W2:W3 W6:W7 AQ58:AQ59 AE14:AE15 AG10:AG11 AG74:AG75 AQ18:AQ19 W58:W59 AI2:AI3 W18:W19 AE10:AE11 AI6:AI7 AG6:AG7 G2:G3 W62:W63 AE70:AE71 A14:A15 A6:A7 A58:A59 AG66:AG67 A62:A63 A18:A19 A22:A23 A26:A28 A30:A31 A34:A35 A38:A39 A42:A43 A46:A47 A50:A51 A10:A11 G6:G7 AI58:AI59 AA2:AA3 AE66:AE67 AA6:AA7 AM74:AM75 AI62:AI63 K2:K3 O2:O3 K6:K7 AE82:AE83 O6:O7 AQ6:AQ7 AM14:AM15 AG62:AG63 G58:G59 W22:W23 G62:G63 Q6:Q7 AE30:AE31 M6:M7 AO10:AO11 AG26:AG27 AY18:IO20 Y6:Y7 AE54:AE55 AG50:AG51 AA58:AA59 AM10:AM11 AM78:AM79 S2:S3 AA62:AA63 AI18:AI19 C2:C3 AE50:AE51 C6:C7 AK2:AK3 Q2:Q3 AE26:AE27 K58:K59 S6:S7 AO6:AO7 AI22:AI23 AQ10:AQ11 AG22:AG23 Y2:Y3 G18:G19 O58:O59 K62:K63 E6:E7 O62:O63 AI10:AI11 M2:M3 AK6:AK7 AQ62:AQ63 AK14:AK15 G22:G23 AA18:AA19 AO74:AO75 AA22:AA23 K18:K19 AM70:AM71 Q14:Q15 I2:I3 O18:O19 K22:K23 O22:O23 AQ74:AQ75 AQ14:AQ15 M14:M15 Q62:Q63 M62:M63 A74:A75 AO66:AO67 Y62:Y63 Y14:Y15 AM66:AM67 AQ22:AQ23 AM2:AM3 AM82:AM83 AM6:AM7 S58:S59 AM30:AM31 Q22:Q23 M22:M23 C58:C59 AO26:AO27 AC2:AC3 Y22:Y23 AM54:AM55 AM26:AM27 S18:S19 C18:C19 C62:C63 E2:E3 AO50:AO51 C22:C23 AK58:AK59 AK18:AK19 Q18:Q19 I14:I15 AK78:AK79 S22:S23 Q58:Q59 S62:S63 AU59:IO60 AO62:AO63 AQ66:AQ67 U2:U3 AS6:AS7 AO2:AO3 Y58:Y59 AQ26:AQ27 Y18:Y19 AM50:AM51 Q78:Q79 E22:E23 Y78:Y79 E62:E63 AI26:AI27 M18:M19 AS10:AS11 AK22:AK23 E14:E15 AZ6:IO7 K14:K15 AI66:AI67 AK30:AK31 AO14:AO15 A54:A55 AI82:AI83 Q30:Q31 M58:M59 I18:I19 AQ30:AQ31 M78:M79 U14:U15 AK62:AK63 O14:O15 M30:M31 AU6:AU7 G14:G15 M10:M11 AE2:AE3 AK70:AK71 Y30:Y31 AK82:AK83 AE6:AE7 AM18:AM19 AC14:AC15 AM22:AM23 AS14:AS15 Q70:Q71 AI74:AI75 AI14:AI15 AC18:AC19 I58:I59 I10:I11 E18:E19 I30:I31 AQ70:AQ71 AQ50:AQ51 M70:M71 G10:G11 U18:U19 M82:M83 Y70:Y71 AS22:AS23 AO18:AO19 I78:I79 AU18:AU20 AS26:AS27 AM58:AM59 E30:E31 AS74:AS75 Y82:Y83 AX6:AX7 K10:K11 AM62:AM63 Q10:Q11 AI78:AI79 O10:O11 W74:W75 K30:K31 AI50:AI51 C14:C15 Q82:Q83 AO30:AO31 K74:K75 U30:U31 AC58:AC59 I6:I7 O74:O75 E58:E59 AK74:AK75 O30:O31 AQ78:AQ79 I70:I71 A70:A71 AK54:AK55 K78:K79 I82:I83 E10:E11 G30:G31 S14:S15 Q54:Q55 E78:E79 M26:M27 AQ54:AQ55 U58:U59 AS62:AS63 W78:W79 AE18:AE19 O78:O79 AE22:AE23 M54:M55 Y54:Y55 Q74:Q75 M74:M75 AC78:AC79 AC30:AC31 AS30:AS31 AI30:AI31 I26:I27 G74:G75 G26:G27 U10:U11 S10:S11 K26:K27 AQ82:AQ83 AO58:AO59 A78:A79 I54:I55 AS78:AS79 Y74:Y75 Q26:Q27 AO78:AO79 O26:O27 AS2:AS3 G78:G79 AS66:AS67 U78:U79 C30:C31 I22:I23 E70:E71 W14:W15 E82:E83 E26:E27 U6:U7 A82:A83 S30:S31 I74:I75 K70:K71 AO70:AO71 U26:U27 AO82:AO83 U70:U71 A66:A67 AS50:AS51 AV49 E54:E55 S26:S27 K54:K55 O70:O71 AO54:AO55 G70:G71 U82:U83 AA14:AA15 M66:M67 AU23:AU24 U54:U55 AE58:AE59 O54:O55 AE62:AE63 AS18:AS19 AC10:AC11 AC70:AC71 C74:C75 G54:G55 S74:S75 M50:M51 AC82:AC83 AS70:AS71 W30:W31 AI70:AI71 I66:I67 G66:G67 U22:U23 AA10:AA11 AC54:AC55 Y10:Y11 K66:K67 AS54:AS55 C78:C79 Q66:Q67 AI54:AI55 I50:I51 E74:E75 G50:G51 S78:S79 K50:K51 AS82:AS83 O66:O67 AU10:AU11 Q50:Q51 O50:O51 G82:G83 AV38 AA74:AA75 C54:C55 C70:C71 C10:C11 AA30:AA31 E50:E51 I62:I63 E66:E67 U74:U75 S54:S55 U50:U51 AC6:AC7 S50:S51 S70:S71 U66:U67 S66:S67 AA78:AA79 AS58:AS59 AC26:AC27 W70:W71 AC74:AC75 S82:S83 W54:W55 AA26:AA27 U62:U63 AA70:AA71 AC66:AC67 AA66:AA67 Y26:Y27 AA82:AA83 Y66:Y67 C26:C27 C66:C67 AC62:AC63 K82:K83 O82:O83 C82:C83 W66:W67 W10:W11 AA54:AA55 AC50:AC51 AG2:AG3 AA50:AA51 Y50:Y51 AC22:AC23 W82:W83 AG14:AG15 AG58:AG59 W26:W27 AG78:AG79 C50:C51 AG18:AG19 AG30:AG31 AK10:AK11 AG70:AG71 AG82:AG83 W50:W51 AK66:AK67 AE74:AE75 AK26:AK27 AG54:AG55 AE78:AE79 AK50:AK51 AQ34:AQ35 W34:W35 AG46:AG47 AE46:AE47 AG42:AG43 AI34:AI35 AE42:AE43 AK42:AK43 AX18:AX19 G34:G35 AA34:AA35 K34:K35 O34:O35 AW15:AW18 AX14:IO15 AQ38:AQ39 AM46:AM47 AW35:IO36 AU51:IO52 AO42:AO43 AX31:IO32 AM42:AM43 S34:S35 C34:C35 AU55:IO56 AK34:AK35 Q34:Q35 AU47:IO48 AU43:IO44 AQ42:AQ43 Y34:Y35 AU39:IO40 AI42:AI43 M34:M35 AU63:IO64 AK46:AK47 Q46:Q47 I34:I35 AQ46:AQ47 M46:M47 Y46:Y47 AM34:AM35 AX23:IO24 AC34:AC35 E34:E35 I46:I47 U34:U35 AS38:AS39 AO34:AO35 AS42:AS43 E46:E47 K46:K47 AO46:AO47 U46:U47 O46:O47 G46:G47 M42:M43 AE34:AE35 AX27:IO28 AC46:AC47 AS46:AS47 AI46:AI47 I42:I43 G42:G43 K42:K43 Q42:Q43 O42:O43 C46:C47 AO22:AO23 E42:E43 S46:S47 U42:U43 S42:S43 AS34:AS35 W46:W47 AW23:AW25 AA46:AA47 AC42:AC43 AA42:AA43 Y42:Y43 C42:C43 AV22:AW22 W42:W43 AG34:AG35 W38:W39 AI38:AI39 AG38:AG39 G38:G39 AA38:AA39 K38:K39 O38:O39 Q38:Q39 M38:M39 Y38:Y39 C38:C39 S38:S39 AO38:AO39 E38:E39 AK38:AK39 AM38:AM39 AE38:AE39 I38:I39 U38:U39 AC38:AC39 AV15:AV16 AU14:AU15 AW11:AW12 AX10:IO11 AV4:AV9" xr:uid="{00000000-0002-0000-0E00-000000000000}"/>
    <dataValidation type="list" allowBlank="1" showInputMessage="1" showErrorMessage="1" sqref="AP2:AP85 AR2:AR85 B2:B85 D2:D85 J2:J85 F2:F85 H2:H85 L2:L85 N2:N85 P2:P85 AL2:AL85 AN2:AN85 R2:R85 Z2:Z85 X2:X85 V2:V85 AF2:AF85 AJ2:AJ85 T2:T85 AD2:AD85 AH2:AH85 AB2:AB85" xr:uid="{00000000-0002-0000-0E00-000001000000}">
      <formula1>$AV$2:$AV$25</formula1>
    </dataValidation>
  </dataValidations>
  <pageMargins left="1" right="0.4" top="0.83" bottom="0.98425196850393704" header="0.51181102362204722" footer="0.51181102362204722"/>
  <pageSetup paperSize="9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Blad8">
    <tabColor theme="3" tint="0.59999389629810485"/>
  </sheetPr>
  <dimension ref="A1:AA39"/>
  <sheetViews>
    <sheetView zoomScaleNormal="100" workbookViewId="0">
      <selection activeCell="A11" sqref="A11"/>
    </sheetView>
  </sheetViews>
  <sheetFormatPr defaultColWidth="9.42578125" defaultRowHeight="12.75" customHeight="1" x14ac:dyDescent="0.2"/>
  <cols>
    <col min="1" max="1" width="14.7109375" style="45" customWidth="1"/>
    <col min="2" max="2" width="31.7109375" style="45" customWidth="1"/>
    <col min="3" max="3" width="14.28515625" style="45" customWidth="1"/>
    <col min="4" max="4" width="28.7109375" style="45" bestFit="1" customWidth="1"/>
    <col min="5" max="5" width="8" style="45" customWidth="1"/>
    <col min="6" max="6" width="28.42578125" style="45" bestFit="1" customWidth="1"/>
    <col min="7" max="7" width="7.7109375" style="45" customWidth="1"/>
    <col min="8" max="8" width="11.5703125" style="45" bestFit="1" customWidth="1"/>
    <col min="9" max="9" width="22.5703125" style="45" customWidth="1"/>
    <col min="10" max="12" width="17.5703125" style="45" customWidth="1"/>
    <col min="13" max="13" width="11.5703125" style="45" bestFit="1" customWidth="1"/>
    <col min="14" max="14" width="20.28515625" style="45" customWidth="1"/>
    <col min="15" max="16" width="16.5703125" style="45" customWidth="1"/>
    <col min="17" max="17" width="18.7109375" style="45" bestFit="1" customWidth="1"/>
    <col min="18" max="18" width="20" style="45" bestFit="1" customWidth="1"/>
    <col min="19" max="20" width="20.7109375" style="45" customWidth="1"/>
    <col min="21" max="21" width="20.7109375" style="45" hidden="1" customWidth="1"/>
    <col min="22" max="22" width="29.42578125" style="45" customWidth="1"/>
    <col min="23" max="26" width="21.7109375" style="45" customWidth="1"/>
    <col min="27" max="27" width="36.140625" style="45" bestFit="1" customWidth="1"/>
    <col min="28" max="16384" width="9.42578125" style="45"/>
  </cols>
  <sheetData>
    <row r="1" spans="1:27" s="42" customFormat="1" ht="15" customHeight="1" thickBot="1" x14ac:dyDescent="0.25">
      <c r="A1" s="35" t="s">
        <v>186</v>
      </c>
      <c r="B1" s="36" t="s">
        <v>187</v>
      </c>
      <c r="C1" s="36" t="s">
        <v>188</v>
      </c>
      <c r="D1" s="36" t="s">
        <v>189</v>
      </c>
      <c r="E1" s="36" t="s">
        <v>190</v>
      </c>
      <c r="F1" s="36" t="s">
        <v>191</v>
      </c>
      <c r="G1" s="37" t="s">
        <v>192</v>
      </c>
      <c r="H1" s="92" t="s">
        <v>193</v>
      </c>
      <c r="I1" s="93" t="s">
        <v>194</v>
      </c>
      <c r="J1" s="93" t="s">
        <v>195</v>
      </c>
      <c r="K1" s="93" t="s">
        <v>196</v>
      </c>
      <c r="L1" s="94" t="s">
        <v>197</v>
      </c>
      <c r="M1" s="101" t="s">
        <v>193</v>
      </c>
      <c r="N1" s="102" t="s">
        <v>198</v>
      </c>
      <c r="O1" s="102" t="s">
        <v>199</v>
      </c>
      <c r="P1" s="102" t="s">
        <v>200</v>
      </c>
      <c r="Q1" s="103" t="s">
        <v>197</v>
      </c>
      <c r="R1" s="38" t="s">
        <v>201</v>
      </c>
      <c r="S1" s="39" t="s">
        <v>202</v>
      </c>
      <c r="T1" s="39" t="s">
        <v>203</v>
      </c>
      <c r="U1" s="39" t="s">
        <v>204</v>
      </c>
      <c r="V1" s="40" t="s">
        <v>205</v>
      </c>
      <c r="W1" s="38" t="s">
        <v>206</v>
      </c>
      <c r="X1" s="39" t="s">
        <v>207</v>
      </c>
      <c r="Y1" s="39" t="s">
        <v>208</v>
      </c>
      <c r="Z1" s="39" t="s">
        <v>209</v>
      </c>
      <c r="AA1" s="41" t="s">
        <v>210</v>
      </c>
    </row>
    <row r="2" spans="1:27" ht="15" customHeight="1" x14ac:dyDescent="0.2">
      <c r="A2" s="171" t="s">
        <v>328</v>
      </c>
      <c r="B2" s="174" t="s">
        <v>487</v>
      </c>
      <c r="C2" s="43" t="s">
        <v>395</v>
      </c>
      <c r="D2" s="43" t="s">
        <v>443</v>
      </c>
      <c r="E2" s="43" t="s">
        <v>577</v>
      </c>
      <c r="F2" s="43" t="s">
        <v>604</v>
      </c>
      <c r="G2" s="44" t="s">
        <v>345</v>
      </c>
      <c r="H2" s="95" t="s">
        <v>366</v>
      </c>
      <c r="I2" s="96" t="s">
        <v>66</v>
      </c>
      <c r="J2" s="96" t="s">
        <v>429</v>
      </c>
      <c r="K2" s="111">
        <v>31054</v>
      </c>
      <c r="L2" s="356" t="s">
        <v>413</v>
      </c>
      <c r="M2" s="185" t="s">
        <v>368</v>
      </c>
      <c r="N2" s="186" t="s">
        <v>350</v>
      </c>
      <c r="O2" s="186" t="s">
        <v>212</v>
      </c>
      <c r="P2" s="187">
        <v>32748</v>
      </c>
      <c r="Q2" s="188" t="s">
        <v>416</v>
      </c>
      <c r="R2" s="174" t="s">
        <v>396</v>
      </c>
      <c r="S2" s="43"/>
      <c r="T2" s="43"/>
      <c r="U2" s="43"/>
      <c r="V2" s="176" t="s">
        <v>402</v>
      </c>
      <c r="W2" s="43" t="s">
        <v>578</v>
      </c>
      <c r="X2" s="43" t="s">
        <v>579</v>
      </c>
      <c r="Y2" s="43" t="s">
        <v>580</v>
      </c>
      <c r="Z2" s="43" t="s">
        <v>379</v>
      </c>
      <c r="AA2" s="44"/>
    </row>
    <row r="3" spans="1:27" ht="15" customHeight="1" x14ac:dyDescent="0.2">
      <c r="A3" s="172" t="s">
        <v>64</v>
      </c>
      <c r="B3" s="60" t="s">
        <v>573</v>
      </c>
      <c r="C3" s="47" t="s">
        <v>331</v>
      </c>
      <c r="D3" s="47" t="s">
        <v>332</v>
      </c>
      <c r="E3" s="47" t="s">
        <v>581</v>
      </c>
      <c r="F3" s="47" t="s">
        <v>601</v>
      </c>
      <c r="G3" s="49" t="s">
        <v>345</v>
      </c>
      <c r="H3" s="97" t="s">
        <v>379</v>
      </c>
      <c r="I3" s="98" t="s">
        <v>67</v>
      </c>
      <c r="J3" s="98" t="s">
        <v>81</v>
      </c>
      <c r="K3" s="112">
        <v>31961</v>
      </c>
      <c r="L3" s="326" t="s">
        <v>408</v>
      </c>
      <c r="M3" s="104" t="s">
        <v>377</v>
      </c>
      <c r="N3" s="105" t="s">
        <v>500</v>
      </c>
      <c r="O3" s="105" t="s">
        <v>75</v>
      </c>
      <c r="P3" s="114">
        <v>35719</v>
      </c>
      <c r="Q3" s="107" t="s">
        <v>520</v>
      </c>
      <c r="R3" s="60" t="s">
        <v>582</v>
      </c>
      <c r="S3" s="48"/>
      <c r="T3" s="47"/>
      <c r="U3" s="47"/>
      <c r="V3" s="177" t="s">
        <v>404</v>
      </c>
      <c r="W3" s="47" t="s">
        <v>583</v>
      </c>
      <c r="X3" s="47" t="s">
        <v>584</v>
      </c>
      <c r="Y3" s="47" t="s">
        <v>585</v>
      </c>
      <c r="Z3" s="47" t="s">
        <v>377</v>
      </c>
      <c r="AA3" s="49"/>
    </row>
    <row r="4" spans="1:27" ht="15" customHeight="1" x14ac:dyDescent="0.2">
      <c r="A4" s="172" t="s">
        <v>401</v>
      </c>
      <c r="B4" s="60" t="s">
        <v>524</v>
      </c>
      <c r="C4" s="47" t="s">
        <v>462</v>
      </c>
      <c r="D4" s="47" t="s">
        <v>463</v>
      </c>
      <c r="E4" s="47" t="s">
        <v>586</v>
      </c>
      <c r="F4" s="47" t="s">
        <v>607</v>
      </c>
      <c r="G4" s="49" t="s">
        <v>345</v>
      </c>
      <c r="H4" s="97" t="s">
        <v>393</v>
      </c>
      <c r="I4" s="98" t="s">
        <v>390</v>
      </c>
      <c r="J4" s="98" t="s">
        <v>399</v>
      </c>
      <c r="K4" s="112">
        <v>35703</v>
      </c>
      <c r="L4" s="326" t="s">
        <v>400</v>
      </c>
      <c r="M4" s="104" t="s">
        <v>522</v>
      </c>
      <c r="N4" s="105" t="s">
        <v>542</v>
      </c>
      <c r="O4" s="105" t="s">
        <v>543</v>
      </c>
      <c r="P4" s="114">
        <v>35147</v>
      </c>
      <c r="Q4" s="107" t="s">
        <v>538</v>
      </c>
      <c r="R4" s="60" t="s">
        <v>375</v>
      </c>
      <c r="S4" s="48"/>
      <c r="T4" s="47"/>
      <c r="U4" s="47"/>
      <c r="V4" s="177" t="s">
        <v>478</v>
      </c>
      <c r="W4" s="47" t="s">
        <v>587</v>
      </c>
      <c r="X4" s="47" t="s">
        <v>588</v>
      </c>
      <c r="Y4" s="47" t="s">
        <v>588</v>
      </c>
      <c r="Z4" s="47" t="s">
        <v>313</v>
      </c>
      <c r="AA4" s="49"/>
    </row>
    <row r="5" spans="1:27" ht="15" customHeight="1" x14ac:dyDescent="0.2">
      <c r="A5" s="172" t="s">
        <v>397</v>
      </c>
      <c r="B5" s="60" t="s">
        <v>571</v>
      </c>
      <c r="C5" s="47" t="s">
        <v>475</v>
      </c>
      <c r="D5" s="47" t="s">
        <v>476</v>
      </c>
      <c r="E5" s="47" t="s">
        <v>589</v>
      </c>
      <c r="F5" s="47" t="s">
        <v>603</v>
      </c>
      <c r="G5" s="49" t="s">
        <v>345</v>
      </c>
      <c r="H5" s="97" t="s">
        <v>367</v>
      </c>
      <c r="I5" s="98" t="s">
        <v>329</v>
      </c>
      <c r="J5" s="98" t="s">
        <v>81</v>
      </c>
      <c r="K5" s="112">
        <v>32008</v>
      </c>
      <c r="L5" s="326" t="s">
        <v>411</v>
      </c>
      <c r="M5" s="104" t="s">
        <v>213</v>
      </c>
      <c r="N5" s="105" t="s">
        <v>348</v>
      </c>
      <c r="O5" s="105" t="s">
        <v>62</v>
      </c>
      <c r="P5" s="114">
        <v>32690</v>
      </c>
      <c r="Q5" s="107" t="s">
        <v>414</v>
      </c>
      <c r="R5" s="60" t="s">
        <v>526</v>
      </c>
      <c r="S5" s="48"/>
      <c r="T5" s="47"/>
      <c r="U5" s="47"/>
      <c r="V5" s="177" t="s">
        <v>525</v>
      </c>
      <c r="W5" s="47" t="s">
        <v>486</v>
      </c>
      <c r="X5" s="47" t="s">
        <v>444</v>
      </c>
      <c r="Y5" s="47" t="s">
        <v>485</v>
      </c>
      <c r="Z5" s="47" t="s">
        <v>458</v>
      </c>
      <c r="AA5" s="49"/>
    </row>
    <row r="6" spans="1:27" ht="15" customHeight="1" x14ac:dyDescent="0.2">
      <c r="A6" s="172" t="s">
        <v>427</v>
      </c>
      <c r="B6" s="175" t="s">
        <v>570</v>
      </c>
      <c r="C6" s="47" t="s">
        <v>473</v>
      </c>
      <c r="D6" s="47" t="s">
        <v>474</v>
      </c>
      <c r="E6" s="47" t="s">
        <v>590</v>
      </c>
      <c r="F6" s="47" t="s">
        <v>602</v>
      </c>
      <c r="G6" s="49" t="s">
        <v>345</v>
      </c>
      <c r="H6" s="97" t="s">
        <v>215</v>
      </c>
      <c r="I6" s="98" t="s">
        <v>349</v>
      </c>
      <c r="J6" s="98" t="s">
        <v>361</v>
      </c>
      <c r="K6" s="112">
        <v>31519</v>
      </c>
      <c r="L6" s="326" t="s">
        <v>412</v>
      </c>
      <c r="M6" s="104" t="s">
        <v>444</v>
      </c>
      <c r="N6" s="105" t="s">
        <v>369</v>
      </c>
      <c r="O6" s="105" t="s">
        <v>445</v>
      </c>
      <c r="P6" s="114">
        <v>33882</v>
      </c>
      <c r="Q6" s="106" t="s">
        <v>415</v>
      </c>
      <c r="R6" s="60" t="s">
        <v>479</v>
      </c>
      <c r="S6" s="48"/>
      <c r="T6" s="47"/>
      <c r="U6" s="47"/>
      <c r="V6" s="177" t="s">
        <v>477</v>
      </c>
      <c r="W6" s="47" t="s">
        <v>591</v>
      </c>
      <c r="X6" s="47" t="s">
        <v>376</v>
      </c>
      <c r="Y6" s="47" t="s">
        <v>211</v>
      </c>
      <c r="Z6" s="47" t="s">
        <v>376</v>
      </c>
      <c r="AA6" s="49"/>
    </row>
    <row r="7" spans="1:27" ht="15" customHeight="1" x14ac:dyDescent="0.2">
      <c r="A7" s="172" t="s">
        <v>65</v>
      </c>
      <c r="B7" s="60" t="s">
        <v>574</v>
      </c>
      <c r="C7" s="47" t="s">
        <v>470</v>
      </c>
      <c r="D7" s="47" t="s">
        <v>471</v>
      </c>
      <c r="E7" s="47" t="s">
        <v>592</v>
      </c>
      <c r="F7" s="47" t="s">
        <v>603</v>
      </c>
      <c r="G7" s="49" t="s">
        <v>345</v>
      </c>
      <c r="H7" s="97" t="s">
        <v>394</v>
      </c>
      <c r="I7" s="98" t="s">
        <v>418</v>
      </c>
      <c r="J7" s="98" t="s">
        <v>71</v>
      </c>
      <c r="K7" s="112">
        <v>34578</v>
      </c>
      <c r="L7" s="357" t="s">
        <v>400</v>
      </c>
      <c r="M7" s="104" t="s">
        <v>313</v>
      </c>
      <c r="N7" s="105" t="s">
        <v>529</v>
      </c>
      <c r="O7" s="105" t="s">
        <v>429</v>
      </c>
      <c r="P7" s="113">
        <v>36477</v>
      </c>
      <c r="Q7" s="107" t="s">
        <v>538</v>
      </c>
      <c r="R7" s="60" t="s">
        <v>593</v>
      </c>
      <c r="S7" s="48"/>
      <c r="T7" s="47"/>
      <c r="U7" s="47"/>
      <c r="V7" s="177" t="s">
        <v>407</v>
      </c>
      <c r="W7" s="47" t="s">
        <v>472</v>
      </c>
      <c r="X7" s="47" t="s">
        <v>378</v>
      </c>
      <c r="Y7" s="47" t="s">
        <v>378</v>
      </c>
      <c r="Z7" s="47" t="s">
        <v>215</v>
      </c>
      <c r="AA7" s="49"/>
    </row>
    <row r="8" spans="1:27" ht="15" customHeight="1" x14ac:dyDescent="0.2">
      <c r="A8" s="172" t="s">
        <v>544</v>
      </c>
      <c r="B8" s="60" t="s">
        <v>575</v>
      </c>
      <c r="C8" s="47" t="s">
        <v>594</v>
      </c>
      <c r="D8" s="47" t="s">
        <v>464</v>
      </c>
      <c r="E8" s="47" t="s">
        <v>606</v>
      </c>
      <c r="F8" s="47" t="s">
        <v>605</v>
      </c>
      <c r="G8" s="49" t="s">
        <v>345</v>
      </c>
      <c r="H8" s="97" t="s">
        <v>217</v>
      </c>
      <c r="I8" s="98" t="s">
        <v>347</v>
      </c>
      <c r="J8" s="98" t="s">
        <v>346</v>
      </c>
      <c r="K8" s="112">
        <v>32899</v>
      </c>
      <c r="L8" s="326" t="s">
        <v>410</v>
      </c>
      <c r="M8" s="104" t="s">
        <v>482</v>
      </c>
      <c r="N8" s="105" t="s">
        <v>481</v>
      </c>
      <c r="O8" s="105" t="s">
        <v>330</v>
      </c>
      <c r="P8" s="114">
        <v>36097</v>
      </c>
      <c r="Q8" s="107" t="s">
        <v>483</v>
      </c>
      <c r="R8" s="60" t="s">
        <v>595</v>
      </c>
      <c r="S8" s="48"/>
      <c r="T8" s="48"/>
      <c r="U8" s="47"/>
      <c r="V8" s="177" t="s">
        <v>405</v>
      </c>
      <c r="W8" s="47" t="s">
        <v>484</v>
      </c>
      <c r="X8" s="47" t="s">
        <v>376</v>
      </c>
      <c r="Y8" s="47" t="s">
        <v>376</v>
      </c>
      <c r="Z8" s="47" t="s">
        <v>376</v>
      </c>
      <c r="AA8" s="49"/>
    </row>
    <row r="9" spans="1:27" ht="15" customHeight="1" x14ac:dyDescent="0.2">
      <c r="A9" s="172" t="s">
        <v>545</v>
      </c>
      <c r="B9" s="60" t="s">
        <v>569</v>
      </c>
      <c r="C9" s="47" t="s">
        <v>468</v>
      </c>
      <c r="D9" s="47" t="s">
        <v>469</v>
      </c>
      <c r="E9" s="47" t="s">
        <v>600</v>
      </c>
      <c r="F9" s="47" t="s">
        <v>601</v>
      </c>
      <c r="G9" s="49" t="s">
        <v>345</v>
      </c>
      <c r="H9" s="97" t="s">
        <v>214</v>
      </c>
      <c r="I9" s="98" t="s">
        <v>63</v>
      </c>
      <c r="J9" s="98" t="s">
        <v>212</v>
      </c>
      <c r="K9" s="112">
        <v>29145</v>
      </c>
      <c r="L9" s="326" t="s">
        <v>409</v>
      </c>
      <c r="M9" s="104" t="s">
        <v>537</v>
      </c>
      <c r="N9" s="105" t="s">
        <v>497</v>
      </c>
      <c r="O9" s="105" t="s">
        <v>88</v>
      </c>
      <c r="P9" s="114">
        <v>34317</v>
      </c>
      <c r="Q9" s="107" t="s">
        <v>483</v>
      </c>
      <c r="R9" s="60" t="s">
        <v>527</v>
      </c>
      <c r="S9" s="48"/>
      <c r="T9" s="47"/>
      <c r="U9" s="47"/>
      <c r="V9" s="177" t="s">
        <v>608</v>
      </c>
      <c r="W9" s="47" t="s">
        <v>467</v>
      </c>
      <c r="X9" s="47" t="s">
        <v>211</v>
      </c>
      <c r="Y9" s="47" t="s">
        <v>379</v>
      </c>
      <c r="Z9" s="47" t="s">
        <v>376</v>
      </c>
      <c r="AA9" s="49"/>
    </row>
    <row r="10" spans="1:27" ht="15" customHeight="1" x14ac:dyDescent="0.2">
      <c r="A10" s="172" t="s">
        <v>356</v>
      </c>
      <c r="B10" s="60" t="s">
        <v>576</v>
      </c>
      <c r="C10" s="47" t="s">
        <v>465</v>
      </c>
      <c r="D10" s="47" t="s">
        <v>466</v>
      </c>
      <c r="E10" s="47" t="s">
        <v>596</v>
      </c>
      <c r="F10" s="47" t="s">
        <v>607</v>
      </c>
      <c r="G10" s="49" t="s">
        <v>345</v>
      </c>
      <c r="H10" s="97" t="s">
        <v>539</v>
      </c>
      <c r="I10" s="98" t="s">
        <v>365</v>
      </c>
      <c r="J10" s="98" t="s">
        <v>370</v>
      </c>
      <c r="K10" s="112">
        <v>34450</v>
      </c>
      <c r="L10" s="326" t="s">
        <v>415</v>
      </c>
      <c r="M10" s="104" t="s">
        <v>548</v>
      </c>
      <c r="N10" s="105" t="s">
        <v>496</v>
      </c>
      <c r="O10" s="105" t="s">
        <v>361</v>
      </c>
      <c r="P10" s="114">
        <v>35102</v>
      </c>
      <c r="Q10" s="107" t="s">
        <v>523</v>
      </c>
      <c r="R10" s="60" t="s">
        <v>380</v>
      </c>
      <c r="S10" s="48"/>
      <c r="T10" s="47"/>
      <c r="U10" s="47"/>
      <c r="V10" s="177" t="s">
        <v>406</v>
      </c>
      <c r="W10" s="47" t="s">
        <v>467</v>
      </c>
      <c r="X10" s="47" t="s">
        <v>211</v>
      </c>
      <c r="Y10" s="47" t="s">
        <v>211</v>
      </c>
      <c r="Z10" s="47" t="s">
        <v>376</v>
      </c>
      <c r="AA10" s="49"/>
    </row>
    <row r="11" spans="1:27" ht="15" customHeight="1" thickBot="1" x14ac:dyDescent="0.25">
      <c r="A11" s="173" t="s">
        <v>77</v>
      </c>
      <c r="B11" s="178" t="s">
        <v>572</v>
      </c>
      <c r="C11" s="50" t="s">
        <v>459</v>
      </c>
      <c r="D11" s="50" t="s">
        <v>460</v>
      </c>
      <c r="E11" s="50" t="s">
        <v>597</v>
      </c>
      <c r="F11" s="50" t="s">
        <v>604</v>
      </c>
      <c r="G11" s="52" t="s">
        <v>345</v>
      </c>
      <c r="H11" s="99" t="s">
        <v>546</v>
      </c>
      <c r="I11" s="100" t="s">
        <v>528</v>
      </c>
      <c r="J11" s="100" t="s">
        <v>540</v>
      </c>
      <c r="K11" s="128">
        <v>31023</v>
      </c>
      <c r="L11" s="358" t="s">
        <v>541</v>
      </c>
      <c r="M11" s="108" t="s">
        <v>547</v>
      </c>
      <c r="N11" s="109" t="s">
        <v>549</v>
      </c>
      <c r="O11" s="109" t="s">
        <v>429</v>
      </c>
      <c r="P11" s="129">
        <v>36144</v>
      </c>
      <c r="Q11" s="236" t="s">
        <v>538</v>
      </c>
      <c r="R11" s="178" t="s">
        <v>598</v>
      </c>
      <c r="S11" s="51"/>
      <c r="T11" s="50"/>
      <c r="U11" s="51"/>
      <c r="V11" s="179" t="s">
        <v>403</v>
      </c>
      <c r="W11" s="50" t="s">
        <v>461</v>
      </c>
      <c r="X11" s="50" t="s">
        <v>599</v>
      </c>
      <c r="Y11" s="50" t="s">
        <v>398</v>
      </c>
      <c r="Z11" s="50" t="s">
        <v>216</v>
      </c>
      <c r="AA11" s="52"/>
    </row>
    <row r="13" spans="1:27" ht="15" customHeight="1" x14ac:dyDescent="0.2"/>
    <row r="14" spans="1:27" ht="15" customHeight="1" thickBot="1" x14ac:dyDescent="0.25">
      <c r="F14" s="53"/>
      <c r="G14" s="53"/>
      <c r="H14" s="54"/>
      <c r="M14" s="54"/>
      <c r="N14" s="55"/>
      <c r="O14" s="55"/>
      <c r="P14" s="117"/>
      <c r="Q14" s="57"/>
      <c r="V14" s="2"/>
    </row>
    <row r="15" spans="1:27" ht="13.5" thickBot="1" x14ac:dyDescent="0.25">
      <c r="C15" s="126" t="s">
        <v>218</v>
      </c>
      <c r="D15" s="127" t="s">
        <v>10</v>
      </c>
      <c r="E15" s="56"/>
      <c r="F15" s="55"/>
      <c r="G15" s="55"/>
      <c r="H15" s="54"/>
      <c r="I15" s="55"/>
      <c r="J15" s="55"/>
      <c r="K15" s="118"/>
      <c r="L15" s="55"/>
      <c r="M15" s="54"/>
      <c r="N15" s="55"/>
      <c r="O15" s="55"/>
      <c r="P15" s="118"/>
      <c r="Q15" s="55"/>
      <c r="V15" s="2"/>
    </row>
    <row r="16" spans="1:27" x14ac:dyDescent="0.2">
      <c r="C16" s="174" t="s">
        <v>73</v>
      </c>
      <c r="D16" s="44" t="s">
        <v>73</v>
      </c>
      <c r="E16" s="54"/>
      <c r="F16" s="55"/>
      <c r="G16" s="55"/>
      <c r="H16" s="54"/>
      <c r="I16" s="55"/>
      <c r="J16" s="55"/>
      <c r="K16" s="118"/>
      <c r="L16" s="55"/>
      <c r="M16" s="54"/>
      <c r="N16" s="55"/>
      <c r="O16" s="55"/>
      <c r="P16" s="118"/>
      <c r="Q16" s="55"/>
      <c r="V16" s="2"/>
    </row>
    <row r="17" spans="3:22" x14ac:dyDescent="0.2">
      <c r="C17" s="46" t="s">
        <v>66</v>
      </c>
      <c r="D17" s="58" t="s">
        <v>328</v>
      </c>
      <c r="E17" s="54"/>
      <c r="F17" s="55"/>
      <c r="G17" s="55"/>
      <c r="H17" s="54"/>
      <c r="I17" s="55"/>
      <c r="J17" s="55"/>
      <c r="K17" s="118"/>
      <c r="L17" s="55"/>
      <c r="M17" s="54"/>
      <c r="N17" s="55"/>
      <c r="O17" s="55"/>
      <c r="P17" s="118"/>
      <c r="Q17" s="57"/>
      <c r="V17" s="2"/>
    </row>
    <row r="18" spans="3:22" x14ac:dyDescent="0.2">
      <c r="C18" s="46" t="s">
        <v>350</v>
      </c>
      <c r="D18" s="59" t="s">
        <v>328</v>
      </c>
      <c r="E18" s="54"/>
      <c r="F18" s="55"/>
      <c r="G18" s="55"/>
      <c r="H18" s="54"/>
      <c r="I18" s="55"/>
      <c r="J18" s="55"/>
      <c r="K18" s="118"/>
      <c r="L18" s="55"/>
      <c r="M18" s="54"/>
      <c r="N18" s="55"/>
      <c r="O18" s="55"/>
      <c r="P18" s="118"/>
      <c r="Q18" s="55"/>
      <c r="V18" s="2"/>
    </row>
    <row r="19" spans="3:22" x14ac:dyDescent="0.2">
      <c r="C19" s="60" t="s">
        <v>67</v>
      </c>
      <c r="D19" s="61" t="s">
        <v>64</v>
      </c>
      <c r="E19" s="54"/>
      <c r="F19" s="55"/>
      <c r="G19" s="55"/>
      <c r="H19" s="54"/>
      <c r="I19" s="55"/>
      <c r="J19" s="55"/>
      <c r="K19" s="118"/>
      <c r="L19" s="55"/>
      <c r="M19" s="54"/>
      <c r="N19" s="55"/>
      <c r="O19" s="55"/>
      <c r="P19" s="118"/>
      <c r="Q19" s="57"/>
      <c r="V19" s="2"/>
    </row>
    <row r="20" spans="3:22" x14ac:dyDescent="0.2">
      <c r="C20" s="60" t="s">
        <v>500</v>
      </c>
      <c r="D20" s="61" t="s">
        <v>64</v>
      </c>
      <c r="E20" s="54"/>
      <c r="F20" s="55"/>
      <c r="G20" s="55"/>
      <c r="H20" s="54"/>
      <c r="I20" s="55"/>
      <c r="J20" s="55"/>
      <c r="K20" s="118"/>
      <c r="L20" s="55"/>
      <c r="M20" s="54"/>
      <c r="N20" s="55"/>
      <c r="O20" s="55"/>
      <c r="P20" s="117"/>
      <c r="Q20" s="55"/>
      <c r="V20" s="2"/>
    </row>
    <row r="21" spans="3:22" x14ac:dyDescent="0.2">
      <c r="C21" s="46" t="s">
        <v>390</v>
      </c>
      <c r="D21" s="58" t="s">
        <v>401</v>
      </c>
      <c r="E21" s="54"/>
      <c r="F21" s="55"/>
      <c r="G21" s="55"/>
      <c r="H21" s="54"/>
      <c r="I21" s="55"/>
      <c r="J21" s="55"/>
      <c r="K21" s="118"/>
      <c r="L21" s="55"/>
      <c r="M21" s="54"/>
      <c r="N21" s="55"/>
      <c r="O21" s="55"/>
      <c r="P21" s="118"/>
      <c r="Q21" s="55"/>
      <c r="V21" s="2"/>
    </row>
    <row r="22" spans="3:22" x14ac:dyDescent="0.2">
      <c r="C22" s="46" t="s">
        <v>496</v>
      </c>
      <c r="D22" s="58" t="s">
        <v>401</v>
      </c>
      <c r="E22" s="54"/>
      <c r="F22" s="55"/>
      <c r="G22" s="55"/>
      <c r="V22" s="2"/>
    </row>
    <row r="23" spans="3:22" x14ac:dyDescent="0.2">
      <c r="C23" s="46" t="s">
        <v>705</v>
      </c>
      <c r="D23" s="58" t="s">
        <v>401</v>
      </c>
      <c r="E23" s="54"/>
      <c r="F23" s="55"/>
      <c r="G23" s="55"/>
      <c r="V23" s="2"/>
    </row>
    <row r="24" spans="3:22" x14ac:dyDescent="0.2">
      <c r="C24" s="60" t="s">
        <v>348</v>
      </c>
      <c r="D24" s="61" t="s">
        <v>397</v>
      </c>
      <c r="E24" s="54"/>
      <c r="F24" s="55"/>
    </row>
    <row r="25" spans="3:22" x14ac:dyDescent="0.2">
      <c r="C25" s="60" t="s">
        <v>329</v>
      </c>
      <c r="D25" s="61" t="s">
        <v>397</v>
      </c>
      <c r="E25" s="54"/>
    </row>
    <row r="26" spans="3:22" x14ac:dyDescent="0.2">
      <c r="C26" s="46" t="s">
        <v>349</v>
      </c>
      <c r="D26" s="58" t="s">
        <v>427</v>
      </c>
      <c r="E26" s="54"/>
      <c r="F26" s="55"/>
      <c r="G26" s="55"/>
      <c r="V26" s="2"/>
    </row>
    <row r="27" spans="3:22" x14ac:dyDescent="0.2">
      <c r="C27" s="46" t="s">
        <v>369</v>
      </c>
      <c r="D27" s="58" t="s">
        <v>427</v>
      </c>
      <c r="E27" s="54"/>
      <c r="F27" s="2"/>
      <c r="G27" s="55"/>
      <c r="H27" s="54"/>
      <c r="I27" s="55"/>
      <c r="K27" s="118"/>
      <c r="L27" s="55"/>
      <c r="M27" s="54"/>
      <c r="N27" s="55"/>
      <c r="O27" s="55"/>
      <c r="P27" s="118"/>
      <c r="Q27" s="55"/>
      <c r="V27" s="2"/>
    </row>
    <row r="28" spans="3:22" x14ac:dyDescent="0.2">
      <c r="C28" s="60" t="s">
        <v>418</v>
      </c>
      <c r="D28" s="61" t="s">
        <v>65</v>
      </c>
    </row>
    <row r="29" spans="3:22" x14ac:dyDescent="0.2">
      <c r="C29" s="60" t="s">
        <v>529</v>
      </c>
      <c r="D29" s="61" t="s">
        <v>65</v>
      </c>
    </row>
    <row r="30" spans="3:22" x14ac:dyDescent="0.2">
      <c r="C30" s="46" t="s">
        <v>347</v>
      </c>
      <c r="D30" s="58" t="s">
        <v>544</v>
      </c>
      <c r="E30" s="54"/>
    </row>
    <row r="31" spans="3:22" x14ac:dyDescent="0.2">
      <c r="C31" s="46" t="s">
        <v>481</v>
      </c>
      <c r="D31" s="58" t="s">
        <v>544</v>
      </c>
      <c r="E31" s="54"/>
    </row>
    <row r="32" spans="3:22" x14ac:dyDescent="0.2">
      <c r="C32" s="60" t="s">
        <v>63</v>
      </c>
      <c r="D32" s="61" t="s">
        <v>545</v>
      </c>
      <c r="E32" s="54"/>
    </row>
    <row r="33" spans="3:5" x14ac:dyDescent="0.2">
      <c r="C33" s="60" t="s">
        <v>497</v>
      </c>
      <c r="D33" s="61" t="s">
        <v>545</v>
      </c>
    </row>
    <row r="34" spans="3:5" x14ac:dyDescent="0.2">
      <c r="C34" s="46" t="s">
        <v>365</v>
      </c>
      <c r="D34" s="58" t="s">
        <v>356</v>
      </c>
      <c r="E34" s="54"/>
    </row>
    <row r="35" spans="3:5" x14ac:dyDescent="0.2">
      <c r="C35" s="46" t="s">
        <v>542</v>
      </c>
      <c r="D35" s="58" t="s">
        <v>356</v>
      </c>
    </row>
    <row r="36" spans="3:5" x14ac:dyDescent="0.2">
      <c r="C36" s="46" t="s">
        <v>706</v>
      </c>
      <c r="D36" s="58" t="s">
        <v>356</v>
      </c>
    </row>
    <row r="37" spans="3:5" x14ac:dyDescent="0.2">
      <c r="C37" s="60" t="s">
        <v>549</v>
      </c>
      <c r="D37" s="61" t="s">
        <v>77</v>
      </c>
      <c r="E37" s="54"/>
    </row>
    <row r="38" spans="3:5" ht="12.75" customHeight="1" x14ac:dyDescent="0.2">
      <c r="C38" s="60" t="s">
        <v>528</v>
      </c>
      <c r="D38" s="61" t="s">
        <v>77</v>
      </c>
    </row>
    <row r="39" spans="3:5" ht="12.75" customHeight="1" thickBot="1" x14ac:dyDescent="0.25">
      <c r="C39" s="203" t="s">
        <v>668</v>
      </c>
      <c r="D39" s="184" t="s">
        <v>77</v>
      </c>
    </row>
  </sheetData>
  <sheetProtection formatCells="0" formatColumns="0" insertColumns="0" insertRows="0" deleteColumns="0" deleteRows="0" selectLockedCells="1" selectUnlockedCells="1"/>
  <sortState xmlns:xlrd2="http://schemas.microsoft.com/office/spreadsheetml/2017/richdata2" ref="J16:J37">
    <sortCondition ref="J16"/>
  </sortState>
  <phoneticPr fontId="0" type="noConversion"/>
  <conditionalFormatting sqref="G2 G4:G11">
    <cfRule type="cellIs" dxfId="5" priority="4" operator="equal">
      <formula>"Bridgestone"</formula>
    </cfRule>
    <cfRule type="cellIs" dxfId="4" priority="5" operator="equal">
      <formula>"Michelin"</formula>
    </cfRule>
    <cfRule type="cellIs" dxfId="3" priority="6" operator="equal">
      <formula>"Pirelli"</formula>
    </cfRule>
  </conditionalFormatting>
  <conditionalFormatting sqref="G3">
    <cfRule type="cellIs" dxfId="2" priority="1" operator="equal">
      <formula>"Bridgestone"</formula>
    </cfRule>
    <cfRule type="cellIs" dxfId="1" priority="2" operator="equal">
      <formula>"Michelin"</formula>
    </cfRule>
    <cfRule type="cellIs" dxfId="0" priority="3" operator="equal">
      <formula>"Pirelli"</formula>
    </cfRule>
  </conditionalFormatting>
  <hyperlinks>
    <hyperlink ref="V5" r:id="rId1" xr:uid="{00000000-0004-0000-0F00-000000000000}"/>
    <hyperlink ref="V6" r:id="rId2" xr:uid="{00000000-0004-0000-0F00-000001000000}"/>
    <hyperlink ref="V7" r:id="rId3" xr:uid="{00000000-0004-0000-0F00-000002000000}"/>
    <hyperlink ref="V9" r:id="rId4" xr:uid="{00000000-0004-0000-0F00-000003000000}"/>
    <hyperlink ref="V10" r:id="rId5" xr:uid="{00000000-0004-0000-0F00-000004000000}"/>
    <hyperlink ref="V8" r:id="rId6" xr:uid="{00000000-0004-0000-0F00-000005000000}"/>
    <hyperlink ref="V4" r:id="rId7" xr:uid="{00000000-0004-0000-0F00-000006000000}"/>
    <hyperlink ref="V11" r:id="rId8" xr:uid="{00000000-0004-0000-0F00-000007000000}"/>
    <hyperlink ref="V2" r:id="rId9" xr:uid="{00000000-0004-0000-0F00-000008000000}"/>
    <hyperlink ref="V3" r:id="rId10" xr:uid="{00000000-0004-0000-0F00-000009000000}"/>
  </hyperlinks>
  <pageMargins left="0.57999999999999996" right="0.65" top="0.67" bottom="0.63" header="0.5" footer="0.5"/>
  <pageSetup paperSize="9" orientation="landscape" r:id="rId11"/>
  <headerFooter alignWithMargins="0"/>
  <drawing r:id="rId1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Blad27">
    <tabColor theme="3" tint="0.79998168889431442"/>
    <pageSetUpPr autoPageBreaks="0"/>
  </sheetPr>
  <dimension ref="A1:BS73"/>
  <sheetViews>
    <sheetView zoomScaleNormal="100" workbookViewId="0">
      <pane ySplit="1" topLeftCell="A2" activePane="bottomLeft" state="frozen"/>
      <selection activeCell="K1" sqref="K1"/>
      <selection pane="bottomLeft" activeCell="A16" sqref="A16"/>
    </sheetView>
  </sheetViews>
  <sheetFormatPr defaultColWidth="9.28515625" defaultRowHeight="12.75" x14ac:dyDescent="0.2"/>
  <cols>
    <col min="1" max="1" width="11.28515625" style="21" customWidth="1"/>
    <col min="2" max="2" width="16.7109375" style="21" customWidth="1"/>
    <col min="3" max="3" width="12.7109375" style="31" customWidth="1"/>
    <col min="4" max="4" width="16.7109375" style="21" customWidth="1"/>
    <col min="5" max="5" width="12.7109375" style="31" customWidth="1"/>
    <col min="6" max="6" width="16.7109375" style="21" customWidth="1"/>
    <col min="7" max="7" width="12.7109375" style="31" customWidth="1"/>
    <col min="8" max="8" width="16.7109375" style="21" customWidth="1"/>
    <col min="9" max="9" width="12.7109375" style="31" customWidth="1"/>
    <col min="10" max="10" width="16.7109375" style="21" customWidth="1"/>
    <col min="11" max="11" width="12.7109375" style="31" customWidth="1"/>
    <col min="12" max="12" width="16.7109375" style="21" customWidth="1"/>
    <col min="13" max="13" width="12.7109375" style="31" customWidth="1"/>
    <col min="14" max="14" width="16.7109375" style="21" customWidth="1"/>
    <col min="15" max="15" width="12.7109375" style="31" customWidth="1"/>
    <col min="16" max="16" width="16.7109375" style="21" customWidth="1"/>
    <col min="17" max="17" width="12.7109375" style="31" customWidth="1"/>
    <col min="18" max="18" width="16.7109375" style="21" customWidth="1"/>
    <col min="19" max="19" width="12.7109375" style="31" customWidth="1"/>
    <col min="20" max="20" width="16.7109375" style="21" customWidth="1"/>
    <col min="21" max="21" width="12.7109375" style="31" customWidth="1"/>
    <col min="22" max="22" width="16.7109375" style="21" customWidth="1"/>
    <col min="23" max="23" width="12.7109375" style="31" customWidth="1"/>
    <col min="24" max="24" width="16.7109375" style="21" customWidth="1"/>
    <col min="25" max="25" width="12.7109375" style="31" customWidth="1"/>
    <col min="26" max="26" width="16.7109375" style="21" customWidth="1"/>
    <col min="27" max="27" width="12.7109375" style="31" customWidth="1"/>
    <col min="28" max="28" width="16.7109375" style="21" customWidth="1"/>
    <col min="29" max="29" width="12.7109375" style="31" customWidth="1"/>
    <col min="30" max="30" width="16.7109375" style="21" customWidth="1"/>
    <col min="31" max="31" width="12.7109375" style="31" customWidth="1"/>
    <col min="32" max="32" width="16.7109375" style="21" customWidth="1"/>
    <col min="33" max="33" width="12.7109375" style="31" customWidth="1"/>
    <col min="34" max="34" width="16.7109375" style="21" customWidth="1"/>
    <col min="35" max="35" width="12.7109375" style="31" customWidth="1"/>
    <col min="36" max="36" width="16.7109375" style="21" customWidth="1"/>
    <col min="37" max="37" width="12.7109375" style="31" customWidth="1"/>
    <col min="38" max="38" width="16.7109375" style="21" customWidth="1"/>
    <col min="39" max="39" width="12.7109375" style="31" customWidth="1"/>
    <col min="40" max="40" width="16.7109375" style="31" customWidth="1"/>
    <col min="41" max="41" width="12.7109375" style="31" customWidth="1"/>
    <col min="42" max="42" width="16.42578125" style="31" hidden="1" customWidth="1"/>
    <col min="43" max="43" width="12.7109375" style="31" hidden="1" customWidth="1"/>
    <col min="44" max="44" width="16.7109375" style="21" hidden="1" customWidth="1"/>
    <col min="45" max="45" width="12.7109375" style="31" hidden="1" customWidth="1"/>
    <col min="46" max="46" width="7.28515625" style="20" customWidth="1"/>
    <col min="47" max="47" width="7.5703125" style="21" customWidth="1"/>
    <col min="48" max="48" width="9.28515625" style="21" customWidth="1"/>
    <col min="49" max="70" width="16.7109375" style="21" customWidth="1"/>
    <col min="71" max="71" width="10.7109375" style="21" customWidth="1"/>
    <col min="72" max="16384" width="9.28515625" style="21"/>
  </cols>
  <sheetData>
    <row r="1" spans="1:71" s="14" customFormat="1" ht="15" customHeight="1" thickBot="1" x14ac:dyDescent="0.25">
      <c r="A1" s="3" t="s">
        <v>95</v>
      </c>
      <c r="B1" s="4" t="s">
        <v>96</v>
      </c>
      <c r="C1" s="5" t="s">
        <v>219</v>
      </c>
      <c r="D1" s="6" t="s">
        <v>97</v>
      </c>
      <c r="E1" s="7" t="s">
        <v>219</v>
      </c>
      <c r="F1" s="8" t="s">
        <v>98</v>
      </c>
      <c r="G1" s="5" t="s">
        <v>219</v>
      </c>
      <c r="H1" s="6" t="s">
        <v>99</v>
      </c>
      <c r="I1" s="7" t="s">
        <v>219</v>
      </c>
      <c r="J1" s="8" t="s">
        <v>100</v>
      </c>
      <c r="K1" s="5" t="s">
        <v>219</v>
      </c>
      <c r="L1" s="6" t="s">
        <v>101</v>
      </c>
      <c r="M1" s="7" t="s">
        <v>219</v>
      </c>
      <c r="N1" s="8" t="s">
        <v>102</v>
      </c>
      <c r="O1" s="5" t="s">
        <v>219</v>
      </c>
      <c r="P1" s="6" t="s">
        <v>103</v>
      </c>
      <c r="Q1" s="7" t="s">
        <v>219</v>
      </c>
      <c r="R1" s="8" t="s">
        <v>104</v>
      </c>
      <c r="S1" s="5" t="s">
        <v>219</v>
      </c>
      <c r="T1" s="6" t="s">
        <v>105</v>
      </c>
      <c r="U1" s="7" t="s">
        <v>219</v>
      </c>
      <c r="V1" s="8" t="s">
        <v>106</v>
      </c>
      <c r="W1" s="5" t="s">
        <v>219</v>
      </c>
      <c r="X1" s="6" t="s">
        <v>107</v>
      </c>
      <c r="Y1" s="7" t="s">
        <v>219</v>
      </c>
      <c r="Z1" s="8" t="s">
        <v>108</v>
      </c>
      <c r="AA1" s="5" t="s">
        <v>219</v>
      </c>
      <c r="AB1" s="6" t="s">
        <v>109</v>
      </c>
      <c r="AC1" s="7" t="s">
        <v>219</v>
      </c>
      <c r="AD1" s="8" t="s">
        <v>110</v>
      </c>
      <c r="AE1" s="5" t="s">
        <v>219</v>
      </c>
      <c r="AF1" s="6" t="s">
        <v>111</v>
      </c>
      <c r="AG1" s="7" t="s">
        <v>219</v>
      </c>
      <c r="AH1" s="8" t="s">
        <v>112</v>
      </c>
      <c r="AI1" s="5" t="s">
        <v>219</v>
      </c>
      <c r="AJ1" s="6" t="s">
        <v>113</v>
      </c>
      <c r="AK1" s="7" t="s">
        <v>219</v>
      </c>
      <c r="AL1" s="9" t="s">
        <v>114</v>
      </c>
      <c r="AM1" s="10" t="s">
        <v>219</v>
      </c>
      <c r="AN1" s="11" t="s">
        <v>115</v>
      </c>
      <c r="AO1" s="12" t="s">
        <v>219</v>
      </c>
      <c r="AP1" s="9" t="s">
        <v>116</v>
      </c>
      <c r="AQ1" s="10" t="s">
        <v>219</v>
      </c>
      <c r="AR1" s="6" t="s">
        <v>117</v>
      </c>
      <c r="AS1" s="7" t="s">
        <v>219</v>
      </c>
      <c r="AT1" s="13"/>
      <c r="AV1" s="182" t="s">
        <v>95</v>
      </c>
      <c r="AW1" s="9" t="s">
        <v>66</v>
      </c>
      <c r="AX1" s="201" t="s">
        <v>350</v>
      </c>
      <c r="AY1" s="202" t="s">
        <v>67</v>
      </c>
      <c r="AZ1" s="201" t="s">
        <v>500</v>
      </c>
      <c r="BA1" s="201" t="s">
        <v>390</v>
      </c>
      <c r="BB1" s="201" t="s">
        <v>496</v>
      </c>
      <c r="BC1" s="201" t="s">
        <v>348</v>
      </c>
      <c r="BD1" s="202" t="s">
        <v>329</v>
      </c>
      <c r="BE1" s="202" t="s">
        <v>349</v>
      </c>
      <c r="BF1" s="201" t="s">
        <v>369</v>
      </c>
      <c r="BG1" s="201" t="s">
        <v>418</v>
      </c>
      <c r="BH1" s="201" t="s">
        <v>529</v>
      </c>
      <c r="BI1" s="202" t="s">
        <v>347</v>
      </c>
      <c r="BJ1" s="202" t="s">
        <v>481</v>
      </c>
      <c r="BK1" s="201" t="s">
        <v>63</v>
      </c>
      <c r="BL1" s="201" t="s">
        <v>497</v>
      </c>
      <c r="BM1" s="201" t="s">
        <v>365</v>
      </c>
      <c r="BN1" s="202" t="s">
        <v>542</v>
      </c>
      <c r="BO1" s="202" t="s">
        <v>549</v>
      </c>
      <c r="BP1" s="201" t="s">
        <v>528</v>
      </c>
      <c r="BQ1" s="201" t="s">
        <v>706</v>
      </c>
      <c r="BR1" s="202" t="s">
        <v>705</v>
      </c>
      <c r="BS1" s="183" t="s">
        <v>73</v>
      </c>
    </row>
    <row r="2" spans="1:71" ht="15" customHeight="1" x14ac:dyDescent="0.2">
      <c r="A2" s="64" t="s">
        <v>295</v>
      </c>
      <c r="B2" s="16" t="s">
        <v>66</v>
      </c>
      <c r="C2" s="17" t="s">
        <v>73</v>
      </c>
      <c r="D2" s="18" t="s">
        <v>350</v>
      </c>
      <c r="E2" s="19" t="s">
        <v>73</v>
      </c>
      <c r="F2" s="16" t="s">
        <v>67</v>
      </c>
      <c r="G2" s="17" t="s">
        <v>73</v>
      </c>
      <c r="H2" s="18" t="s">
        <v>390</v>
      </c>
      <c r="I2" s="19" t="s">
        <v>73</v>
      </c>
      <c r="J2" s="16" t="s">
        <v>500</v>
      </c>
      <c r="K2" s="17" t="s">
        <v>73</v>
      </c>
      <c r="L2" s="18" t="s">
        <v>349</v>
      </c>
      <c r="M2" s="19" t="s">
        <v>73</v>
      </c>
      <c r="N2" s="16" t="s">
        <v>369</v>
      </c>
      <c r="O2" s="17" t="s">
        <v>73</v>
      </c>
      <c r="P2" s="18" t="s">
        <v>529</v>
      </c>
      <c r="Q2" s="19" t="s">
        <v>73</v>
      </c>
      <c r="R2" s="16" t="s">
        <v>63</v>
      </c>
      <c r="S2" s="17" t="s">
        <v>73</v>
      </c>
      <c r="T2" s="18" t="s">
        <v>347</v>
      </c>
      <c r="U2" s="19" t="s">
        <v>73</v>
      </c>
      <c r="V2" s="16" t="s">
        <v>329</v>
      </c>
      <c r="W2" s="17" t="s">
        <v>73</v>
      </c>
      <c r="X2" s="18" t="s">
        <v>348</v>
      </c>
      <c r="Y2" s="19" t="s">
        <v>73</v>
      </c>
      <c r="Z2" s="16" t="s">
        <v>542</v>
      </c>
      <c r="AA2" s="17" t="s">
        <v>73</v>
      </c>
      <c r="AB2" s="18" t="s">
        <v>497</v>
      </c>
      <c r="AC2" s="19" t="s">
        <v>73</v>
      </c>
      <c r="AD2" s="16" t="s">
        <v>365</v>
      </c>
      <c r="AE2" s="17" t="s">
        <v>73</v>
      </c>
      <c r="AF2" s="18" t="s">
        <v>481</v>
      </c>
      <c r="AG2" s="19" t="s">
        <v>73</v>
      </c>
      <c r="AH2" s="16" t="s">
        <v>496</v>
      </c>
      <c r="AI2" s="17" t="s">
        <v>73</v>
      </c>
      <c r="AJ2" s="18" t="s">
        <v>418</v>
      </c>
      <c r="AK2" s="19" t="s">
        <v>73</v>
      </c>
      <c r="AL2" s="16" t="s">
        <v>549</v>
      </c>
      <c r="AM2" s="17" t="s">
        <v>73</v>
      </c>
      <c r="AN2" s="18" t="s">
        <v>528</v>
      </c>
      <c r="AO2" s="19" t="s">
        <v>73</v>
      </c>
      <c r="AP2" s="16" t="s">
        <v>73</v>
      </c>
      <c r="AQ2" s="17" t="s">
        <v>73</v>
      </c>
      <c r="AR2" s="18" t="s">
        <v>73</v>
      </c>
      <c r="AS2" s="19" t="s">
        <v>73</v>
      </c>
      <c r="AV2" s="192" t="s">
        <v>61</v>
      </c>
      <c r="AW2" s="65">
        <f>IF($B2=AW$1,1)+IF($D2=AW$1,2)+IF($F2=AW$1,3)+IF($H2=AW$1,4)+IF($J2=AW$1,5)+IF($L2=AW$1,6)+IF($N2=AW$1,7)+IF($P2=AW$1,8)+IF($R2=AW$1,9)+IF($T2=AW$1,10)+IF($V2=AW$1,11)+IF($X2=AW$1,12)+IF($Z2=AW$1,13)+IF($AB2=AW$1,14)+IF($AD2=AW$1,15)+IF($AF2=AW$1,16)+IF($AH2=AW$1,17)+IF($AJ2=AW$1,18)+IF($AL2=AW$1,19)+IF($AN2=AW$1,20)</f>
        <v>1</v>
      </c>
      <c r="AX2" s="200">
        <f>IF($B2=AX$1,1)+IF($D2=AX$1,2)+IF($F2=AX$1,3)+IF($H2=AX$1,4)+IF($J2=AX$1,5)+IF($L2=AX$1,6)+IF($N2=AX$1,7)+IF($P2=AX$1,8)+IF($R2=AX$1,9)+IF($T2=AX$1,10)+IF($V2=AX$1,11)+IF($X2=AX$1,12)+IF($Z2=AX$1,13)+IF($AB2=AX$1,14)+IF($AD2=AX$1,15)+IF($AF2=AX$1,16)+IF($AH2=AX$1,17)+IF($AJ2=AX$1,18)+IF($AL2=AX$1,19)+IF($AN2=AX$1,20)</f>
        <v>2</v>
      </c>
      <c r="AY2" s="200">
        <f t="shared" ref="AY2:BQ16" si="0">IF($B2=AY$1,1)+IF($D2=AY$1,2)+IF($F2=AY$1,3)+IF($H2=AY$1,4)+IF($J2=AY$1,5)+IF($L2=AY$1,6)+IF($N2=AY$1,7)+IF($P2=AY$1,8)+IF($R2=AY$1,9)+IF($T2=AY$1,10)+IF($V2=AY$1,11)+IF($X2=AY$1,12)+IF($Z2=AY$1,13)+IF($AB2=AY$1,14)+IF($AD2=AY$1,15)+IF($AF2=AY$1,16)+IF($AH2=AY$1,17)+IF($AJ2=AY$1,18)+IF($AL2=AY$1,19)+IF($AN2=AY$1,20)</f>
        <v>3</v>
      </c>
      <c r="AZ2" s="200">
        <f t="shared" si="0"/>
        <v>5</v>
      </c>
      <c r="BA2" s="200">
        <f t="shared" si="0"/>
        <v>4</v>
      </c>
      <c r="BB2" s="200">
        <f t="shared" si="0"/>
        <v>17</v>
      </c>
      <c r="BC2" s="200">
        <f t="shared" si="0"/>
        <v>12</v>
      </c>
      <c r="BD2" s="200">
        <f t="shared" si="0"/>
        <v>11</v>
      </c>
      <c r="BE2" s="200">
        <f t="shared" si="0"/>
        <v>6</v>
      </c>
      <c r="BF2" s="200">
        <f t="shared" si="0"/>
        <v>7</v>
      </c>
      <c r="BG2" s="200">
        <f t="shared" si="0"/>
        <v>18</v>
      </c>
      <c r="BH2" s="200">
        <f t="shared" si="0"/>
        <v>8</v>
      </c>
      <c r="BI2" s="200">
        <f t="shared" si="0"/>
        <v>10</v>
      </c>
      <c r="BJ2" s="200">
        <f t="shared" si="0"/>
        <v>16</v>
      </c>
      <c r="BK2" s="200">
        <f t="shared" si="0"/>
        <v>9</v>
      </c>
      <c r="BL2" s="200">
        <f t="shared" si="0"/>
        <v>14</v>
      </c>
      <c r="BM2" s="200">
        <f t="shared" si="0"/>
        <v>15</v>
      </c>
      <c r="BN2" s="200">
        <f t="shared" si="0"/>
        <v>13</v>
      </c>
      <c r="BO2" s="200">
        <f t="shared" si="0"/>
        <v>19</v>
      </c>
      <c r="BP2" s="200">
        <f t="shared" ref="BP2:BP15" si="1">IF($B2=BP$1,1)+IF($D2=BP$1,2)+IF($F2=BP$1,3)+IF($H2=BP$1,4)+IF($J2=BP$1,5)+IF($L2=BP$1,6)+IF($N2=BP$1,7)+IF($P2=BP$1,8)+IF($R2=BP$1,9)+IF($T2=BP$1,10)+IF($V2=BP$1,11)+IF($X2=BP$1,12)+IF($Z2=BP$1,13)+IF($AB2=BP$1,14)+IF($AD2=BP$1,15)+IF($AF2=BP$1,16)+IF($AH2=BP$1,17)+IF($AJ2=BP$1,18)+IF($AL2=BP$1,19)+IF($AN2=BP$1,20)</f>
        <v>20</v>
      </c>
      <c r="BQ2" s="200">
        <f t="shared" si="0"/>
        <v>0</v>
      </c>
      <c r="BR2" s="200">
        <f t="shared" ref="BR2:BR16" si="2">IF($B2=BR$1,1)+IF($D2=BR$1,2)+IF($F2=BR$1,3)+IF($H2=BR$1,4)+IF($J2=BR$1,5)+IF($L2=BR$1,6)+IF($N2=BR$1,7)+IF($P2=BR$1,8)+IF($R2=BR$1,9)+IF($T2=BR$1,10)+IF($V2=BR$1,11)+IF($X2=BR$1,12)+IF($Z2=BR$1,13)+IF($AB2=BR$1,14)+IF($AD2=BR$1,15)+IF($AF2=BR$1,16)+IF($AH2=BR$1,17)+IF($AJ2=BR$1,18)+IF($AL2=BR$1,19)+IF($AN2=BR$1,20)</f>
        <v>0</v>
      </c>
      <c r="BS2" s="180" t="s">
        <v>73</v>
      </c>
    </row>
    <row r="3" spans="1:71" ht="15" customHeight="1" x14ac:dyDescent="0.2">
      <c r="A3" s="77" t="s">
        <v>296</v>
      </c>
      <c r="B3" s="23" t="s">
        <v>500</v>
      </c>
      <c r="C3" s="24" t="s">
        <v>73</v>
      </c>
      <c r="D3" s="25" t="s">
        <v>67</v>
      </c>
      <c r="E3" s="26" t="s">
        <v>73</v>
      </c>
      <c r="F3" s="23" t="s">
        <v>66</v>
      </c>
      <c r="G3" s="24" t="s">
        <v>73</v>
      </c>
      <c r="H3" s="25" t="s">
        <v>350</v>
      </c>
      <c r="I3" s="26" t="s">
        <v>73</v>
      </c>
      <c r="J3" s="23" t="s">
        <v>390</v>
      </c>
      <c r="K3" s="24" t="s">
        <v>73</v>
      </c>
      <c r="L3" s="25" t="s">
        <v>369</v>
      </c>
      <c r="M3" s="26" t="s">
        <v>73</v>
      </c>
      <c r="N3" s="23" t="s">
        <v>418</v>
      </c>
      <c r="O3" s="24" t="s">
        <v>73</v>
      </c>
      <c r="P3" s="25" t="s">
        <v>63</v>
      </c>
      <c r="Q3" s="26" t="s">
        <v>73</v>
      </c>
      <c r="R3" s="23" t="s">
        <v>529</v>
      </c>
      <c r="S3" s="24" t="s">
        <v>73</v>
      </c>
      <c r="T3" s="25" t="s">
        <v>348</v>
      </c>
      <c r="U3" s="26" t="s">
        <v>73</v>
      </c>
      <c r="V3" s="23" t="s">
        <v>349</v>
      </c>
      <c r="W3" s="24" t="s">
        <v>618</v>
      </c>
      <c r="X3" s="25" t="s">
        <v>542</v>
      </c>
      <c r="Y3" s="26" t="s">
        <v>73</v>
      </c>
      <c r="Z3" s="23" t="s">
        <v>496</v>
      </c>
      <c r="AA3" s="24" t="s">
        <v>73</v>
      </c>
      <c r="AB3" s="25" t="s">
        <v>347</v>
      </c>
      <c r="AC3" s="26" t="s">
        <v>73</v>
      </c>
      <c r="AD3" s="23" t="s">
        <v>365</v>
      </c>
      <c r="AE3" s="24" t="s">
        <v>73</v>
      </c>
      <c r="AF3" s="25" t="s">
        <v>497</v>
      </c>
      <c r="AG3" s="26" t="s">
        <v>73</v>
      </c>
      <c r="AH3" s="23" t="s">
        <v>329</v>
      </c>
      <c r="AI3" s="24" t="s">
        <v>73</v>
      </c>
      <c r="AJ3" s="25" t="s">
        <v>481</v>
      </c>
      <c r="AK3" s="26" t="s">
        <v>73</v>
      </c>
      <c r="AL3" s="23" t="s">
        <v>549</v>
      </c>
      <c r="AM3" s="24" t="s">
        <v>73</v>
      </c>
      <c r="AN3" s="25" t="s">
        <v>528</v>
      </c>
      <c r="AO3" s="26" t="s">
        <v>73</v>
      </c>
      <c r="AP3" s="23" t="s">
        <v>73</v>
      </c>
      <c r="AQ3" s="24" t="s">
        <v>73</v>
      </c>
      <c r="AR3" s="25" t="s">
        <v>73</v>
      </c>
      <c r="AS3" s="26" t="s">
        <v>73</v>
      </c>
      <c r="AV3" s="193" t="s">
        <v>68</v>
      </c>
      <c r="AW3" s="23">
        <f t="shared" ref="AW3:BL22" si="3">IF($B3=AW$1,1)+IF($D3=AW$1,2)+IF($F3=AW$1,3)+IF($H3=AW$1,4)+IF($J3=AW$1,5)+IF($L3=AW$1,6)+IF($N3=AW$1,7)+IF($P3=AW$1,8)+IF($R3=AW$1,9)+IF($T3=AW$1,10)+IF($V3=AW$1,11)+IF($X3=AW$1,12)+IF($Z3=AW$1,13)+IF($AB3=AW$1,14)+IF($AD3=AW$1,15)+IF($AF3=AW$1,16)+IF($AH3=AW$1,17)+IF($AJ3=AW$1,18)+IF($AL3=AW$1,19)+IF($AN3=AW$1,20)</f>
        <v>3</v>
      </c>
      <c r="AX3" s="198">
        <f t="shared" si="3"/>
        <v>4</v>
      </c>
      <c r="AY3" s="198">
        <f t="shared" si="3"/>
        <v>2</v>
      </c>
      <c r="AZ3" s="198">
        <f t="shared" si="3"/>
        <v>1</v>
      </c>
      <c r="BA3" s="198">
        <f t="shared" si="3"/>
        <v>5</v>
      </c>
      <c r="BB3" s="198">
        <f t="shared" si="3"/>
        <v>13</v>
      </c>
      <c r="BC3" s="198">
        <f t="shared" si="3"/>
        <v>10</v>
      </c>
      <c r="BD3" s="198">
        <f t="shared" si="3"/>
        <v>17</v>
      </c>
      <c r="BE3" s="198">
        <f t="shared" si="3"/>
        <v>11</v>
      </c>
      <c r="BF3" s="198">
        <f t="shared" si="3"/>
        <v>6</v>
      </c>
      <c r="BG3" s="198">
        <f t="shared" si="3"/>
        <v>7</v>
      </c>
      <c r="BH3" s="198">
        <f t="shared" si="3"/>
        <v>9</v>
      </c>
      <c r="BI3" s="198">
        <f t="shared" si="3"/>
        <v>14</v>
      </c>
      <c r="BJ3" s="198">
        <f t="shared" si="3"/>
        <v>18</v>
      </c>
      <c r="BK3" s="198">
        <f t="shared" si="3"/>
        <v>8</v>
      </c>
      <c r="BL3" s="198">
        <f t="shared" si="3"/>
        <v>16</v>
      </c>
      <c r="BM3" s="198">
        <f t="shared" si="0"/>
        <v>15</v>
      </c>
      <c r="BN3" s="198">
        <f t="shared" si="0"/>
        <v>12</v>
      </c>
      <c r="BO3" s="198">
        <f t="shared" si="0"/>
        <v>19</v>
      </c>
      <c r="BP3" s="198">
        <f t="shared" si="1"/>
        <v>20</v>
      </c>
      <c r="BQ3" s="198">
        <f t="shared" si="0"/>
        <v>0</v>
      </c>
      <c r="BR3" s="198">
        <f t="shared" si="2"/>
        <v>0</v>
      </c>
      <c r="BS3" s="181" t="s">
        <v>73</v>
      </c>
    </row>
    <row r="4" spans="1:71" ht="15" customHeight="1" x14ac:dyDescent="0.2">
      <c r="A4" s="77" t="s">
        <v>297</v>
      </c>
      <c r="B4" s="23" t="s">
        <v>350</v>
      </c>
      <c r="C4" s="24" t="s">
        <v>73</v>
      </c>
      <c r="D4" s="25" t="s">
        <v>66</v>
      </c>
      <c r="E4" s="26" t="s">
        <v>73</v>
      </c>
      <c r="F4" s="23" t="s">
        <v>67</v>
      </c>
      <c r="G4" s="24" t="s">
        <v>73</v>
      </c>
      <c r="H4" s="25" t="s">
        <v>500</v>
      </c>
      <c r="I4" s="26" t="s">
        <v>73</v>
      </c>
      <c r="J4" s="23" t="s">
        <v>390</v>
      </c>
      <c r="K4" s="24" t="s">
        <v>73</v>
      </c>
      <c r="L4" s="25" t="s">
        <v>496</v>
      </c>
      <c r="M4" s="26" t="s">
        <v>73</v>
      </c>
      <c r="N4" s="23" t="s">
        <v>348</v>
      </c>
      <c r="O4" s="24" t="s">
        <v>73</v>
      </c>
      <c r="P4" s="25" t="s">
        <v>329</v>
      </c>
      <c r="Q4" s="26" t="s">
        <v>73</v>
      </c>
      <c r="R4" s="23" t="s">
        <v>369</v>
      </c>
      <c r="S4" s="24" t="s">
        <v>73</v>
      </c>
      <c r="T4" s="25" t="s">
        <v>349</v>
      </c>
      <c r="U4" s="26" t="s">
        <v>73</v>
      </c>
      <c r="V4" s="23" t="s">
        <v>365</v>
      </c>
      <c r="W4" s="24" t="s">
        <v>73</v>
      </c>
      <c r="X4" s="25" t="s">
        <v>347</v>
      </c>
      <c r="Y4" s="26" t="s">
        <v>73</v>
      </c>
      <c r="Z4" s="23" t="s">
        <v>63</v>
      </c>
      <c r="AA4" s="24" t="s">
        <v>73</v>
      </c>
      <c r="AB4" s="25" t="s">
        <v>418</v>
      </c>
      <c r="AC4" s="26" t="s">
        <v>73</v>
      </c>
      <c r="AD4" s="23" t="s">
        <v>529</v>
      </c>
      <c r="AE4" s="24" t="s">
        <v>73</v>
      </c>
      <c r="AF4" s="25" t="s">
        <v>481</v>
      </c>
      <c r="AG4" s="26" t="s">
        <v>73</v>
      </c>
      <c r="AH4" s="23" t="s">
        <v>549</v>
      </c>
      <c r="AI4" s="24" t="s">
        <v>73</v>
      </c>
      <c r="AJ4" s="25" t="s">
        <v>528</v>
      </c>
      <c r="AK4" s="26" t="s">
        <v>73</v>
      </c>
      <c r="AL4" s="23" t="s">
        <v>497</v>
      </c>
      <c r="AM4" s="24" t="s">
        <v>73</v>
      </c>
      <c r="AN4" s="25" t="s">
        <v>542</v>
      </c>
      <c r="AO4" s="26" t="s">
        <v>73</v>
      </c>
      <c r="AP4" s="23" t="s">
        <v>73</v>
      </c>
      <c r="AQ4" s="24" t="s">
        <v>73</v>
      </c>
      <c r="AR4" s="25" t="s">
        <v>73</v>
      </c>
      <c r="AS4" s="26" t="s">
        <v>73</v>
      </c>
      <c r="AV4" s="193" t="s">
        <v>69</v>
      </c>
      <c r="AW4" s="23">
        <f t="shared" si="3"/>
        <v>2</v>
      </c>
      <c r="AX4" s="198">
        <f t="shared" si="3"/>
        <v>1</v>
      </c>
      <c r="AY4" s="198">
        <f t="shared" si="0"/>
        <v>3</v>
      </c>
      <c r="AZ4" s="198">
        <f t="shared" si="0"/>
        <v>4</v>
      </c>
      <c r="BA4" s="198">
        <f t="shared" si="0"/>
        <v>5</v>
      </c>
      <c r="BB4" s="198">
        <f t="shared" si="0"/>
        <v>6</v>
      </c>
      <c r="BC4" s="198">
        <f t="shared" si="0"/>
        <v>7</v>
      </c>
      <c r="BD4" s="198">
        <f t="shared" si="0"/>
        <v>8</v>
      </c>
      <c r="BE4" s="198">
        <f t="shared" si="0"/>
        <v>10</v>
      </c>
      <c r="BF4" s="198">
        <f t="shared" si="0"/>
        <v>9</v>
      </c>
      <c r="BG4" s="198">
        <f t="shared" si="0"/>
        <v>14</v>
      </c>
      <c r="BH4" s="198">
        <f t="shared" si="0"/>
        <v>15</v>
      </c>
      <c r="BI4" s="198">
        <f t="shared" si="0"/>
        <v>12</v>
      </c>
      <c r="BJ4" s="198">
        <f t="shared" si="0"/>
        <v>16</v>
      </c>
      <c r="BK4" s="198">
        <f t="shared" si="0"/>
        <v>13</v>
      </c>
      <c r="BL4" s="198">
        <f t="shared" si="0"/>
        <v>19</v>
      </c>
      <c r="BM4" s="198">
        <f t="shared" si="0"/>
        <v>11</v>
      </c>
      <c r="BN4" s="198">
        <f t="shared" si="0"/>
        <v>20</v>
      </c>
      <c r="BO4" s="198">
        <f t="shared" si="0"/>
        <v>17</v>
      </c>
      <c r="BP4" s="198">
        <f t="shared" si="1"/>
        <v>18</v>
      </c>
      <c r="BQ4" s="198">
        <f t="shared" si="0"/>
        <v>0</v>
      </c>
      <c r="BR4" s="198">
        <f t="shared" si="2"/>
        <v>0</v>
      </c>
      <c r="BS4" s="196" t="s">
        <v>73</v>
      </c>
    </row>
    <row r="5" spans="1:71" ht="15" customHeight="1" x14ac:dyDescent="0.2">
      <c r="A5" s="77" t="s">
        <v>298</v>
      </c>
      <c r="B5" s="23" t="s">
        <v>350</v>
      </c>
      <c r="C5" s="24" t="s">
        <v>73</v>
      </c>
      <c r="D5" s="25" t="s">
        <v>66</v>
      </c>
      <c r="E5" s="26" t="s">
        <v>73</v>
      </c>
      <c r="F5" s="23" t="s">
        <v>67</v>
      </c>
      <c r="G5" s="24" t="s">
        <v>73</v>
      </c>
      <c r="H5" s="25" t="s">
        <v>390</v>
      </c>
      <c r="I5" s="26" t="s">
        <v>73</v>
      </c>
      <c r="J5" s="23" t="s">
        <v>347</v>
      </c>
      <c r="K5" s="24" t="s">
        <v>73</v>
      </c>
      <c r="L5" s="25" t="s">
        <v>365</v>
      </c>
      <c r="M5" s="26" t="s">
        <v>73</v>
      </c>
      <c r="N5" s="23" t="s">
        <v>529</v>
      </c>
      <c r="O5" s="24" t="s">
        <v>73</v>
      </c>
      <c r="P5" s="25" t="s">
        <v>500</v>
      </c>
      <c r="Q5" s="26" t="s">
        <v>73</v>
      </c>
      <c r="R5" s="23" t="s">
        <v>418</v>
      </c>
      <c r="S5" s="24" t="s">
        <v>73</v>
      </c>
      <c r="T5" s="25" t="s">
        <v>348</v>
      </c>
      <c r="U5" s="26" t="s">
        <v>73</v>
      </c>
      <c r="V5" s="23" t="s">
        <v>542</v>
      </c>
      <c r="W5" s="24" t="s">
        <v>73</v>
      </c>
      <c r="X5" s="25" t="s">
        <v>369</v>
      </c>
      <c r="Y5" s="26" t="s">
        <v>73</v>
      </c>
      <c r="Z5" s="23" t="s">
        <v>481</v>
      </c>
      <c r="AA5" s="24" t="s">
        <v>73</v>
      </c>
      <c r="AB5" s="25" t="s">
        <v>349</v>
      </c>
      <c r="AC5" s="26" t="s">
        <v>73</v>
      </c>
      <c r="AD5" s="23" t="s">
        <v>329</v>
      </c>
      <c r="AE5" s="24" t="s">
        <v>73</v>
      </c>
      <c r="AF5" s="25" t="s">
        <v>549</v>
      </c>
      <c r="AG5" s="26" t="s">
        <v>73</v>
      </c>
      <c r="AH5" s="23" t="s">
        <v>497</v>
      </c>
      <c r="AI5" s="24" t="s">
        <v>618</v>
      </c>
      <c r="AJ5" s="25" t="s">
        <v>528</v>
      </c>
      <c r="AK5" s="26" t="s">
        <v>634</v>
      </c>
      <c r="AL5" s="23" t="s">
        <v>63</v>
      </c>
      <c r="AM5" s="24" t="s">
        <v>634</v>
      </c>
      <c r="AN5" s="25" t="s">
        <v>496</v>
      </c>
      <c r="AO5" s="26" t="s">
        <v>634</v>
      </c>
      <c r="AP5" s="23" t="s">
        <v>73</v>
      </c>
      <c r="AQ5" s="24" t="s">
        <v>73</v>
      </c>
      <c r="AR5" s="25" t="s">
        <v>73</v>
      </c>
      <c r="AS5" s="26" t="s">
        <v>73</v>
      </c>
      <c r="AV5" s="193" t="s">
        <v>70</v>
      </c>
      <c r="AW5" s="23">
        <f t="shared" si="3"/>
        <v>2</v>
      </c>
      <c r="AX5" s="198">
        <f t="shared" si="3"/>
        <v>1</v>
      </c>
      <c r="AY5" s="198">
        <f t="shared" si="0"/>
        <v>3</v>
      </c>
      <c r="AZ5" s="198">
        <f t="shared" si="0"/>
        <v>8</v>
      </c>
      <c r="BA5" s="198">
        <f t="shared" si="0"/>
        <v>4</v>
      </c>
      <c r="BB5" s="198">
        <f t="shared" si="0"/>
        <v>20</v>
      </c>
      <c r="BC5" s="198">
        <f t="shared" si="0"/>
        <v>10</v>
      </c>
      <c r="BD5" s="198">
        <f t="shared" si="0"/>
        <v>15</v>
      </c>
      <c r="BE5" s="198">
        <f t="shared" si="0"/>
        <v>14</v>
      </c>
      <c r="BF5" s="198">
        <f t="shared" si="0"/>
        <v>12</v>
      </c>
      <c r="BG5" s="198">
        <f t="shared" si="0"/>
        <v>9</v>
      </c>
      <c r="BH5" s="198">
        <f t="shared" si="0"/>
        <v>7</v>
      </c>
      <c r="BI5" s="198">
        <f t="shared" si="0"/>
        <v>5</v>
      </c>
      <c r="BJ5" s="198">
        <f t="shared" si="0"/>
        <v>13</v>
      </c>
      <c r="BK5" s="198">
        <f t="shared" si="0"/>
        <v>19</v>
      </c>
      <c r="BL5" s="198">
        <f t="shared" si="0"/>
        <v>17</v>
      </c>
      <c r="BM5" s="198">
        <f t="shared" si="0"/>
        <v>6</v>
      </c>
      <c r="BN5" s="198">
        <f t="shared" si="0"/>
        <v>11</v>
      </c>
      <c r="BO5" s="198">
        <f t="shared" si="0"/>
        <v>16</v>
      </c>
      <c r="BP5" s="198">
        <f t="shared" si="1"/>
        <v>18</v>
      </c>
      <c r="BQ5" s="198">
        <f t="shared" si="0"/>
        <v>0</v>
      </c>
      <c r="BR5" s="198">
        <f t="shared" si="2"/>
        <v>0</v>
      </c>
      <c r="BS5" s="196" t="s">
        <v>73</v>
      </c>
    </row>
    <row r="6" spans="1:71" ht="15" customHeight="1" x14ac:dyDescent="0.2">
      <c r="A6" s="77" t="s">
        <v>299</v>
      </c>
      <c r="B6" s="23" t="s">
        <v>350</v>
      </c>
      <c r="C6" s="24" t="s">
        <v>73</v>
      </c>
      <c r="D6" s="25" t="s">
        <v>66</v>
      </c>
      <c r="E6" s="26" t="s">
        <v>73</v>
      </c>
      <c r="F6" s="23" t="s">
        <v>67</v>
      </c>
      <c r="G6" s="24" t="s">
        <v>73</v>
      </c>
      <c r="H6" s="25" t="s">
        <v>390</v>
      </c>
      <c r="I6" s="26" t="s">
        <v>73</v>
      </c>
      <c r="J6" s="23" t="s">
        <v>500</v>
      </c>
      <c r="K6" s="24" t="s">
        <v>73</v>
      </c>
      <c r="L6" s="25" t="s">
        <v>496</v>
      </c>
      <c r="M6" s="26" t="s">
        <v>73</v>
      </c>
      <c r="N6" s="23" t="s">
        <v>349</v>
      </c>
      <c r="O6" s="24" t="s">
        <v>73</v>
      </c>
      <c r="P6" s="25" t="s">
        <v>369</v>
      </c>
      <c r="Q6" s="26" t="s">
        <v>73</v>
      </c>
      <c r="R6" s="23" t="s">
        <v>365</v>
      </c>
      <c r="S6" s="24" t="s">
        <v>73</v>
      </c>
      <c r="T6" s="25" t="s">
        <v>529</v>
      </c>
      <c r="U6" s="26" t="s">
        <v>73</v>
      </c>
      <c r="V6" s="23" t="s">
        <v>542</v>
      </c>
      <c r="W6" s="24" t="s">
        <v>73</v>
      </c>
      <c r="X6" s="25" t="s">
        <v>418</v>
      </c>
      <c r="Y6" s="26" t="s">
        <v>73</v>
      </c>
      <c r="Z6" s="23" t="s">
        <v>348</v>
      </c>
      <c r="AA6" s="24" t="s">
        <v>618</v>
      </c>
      <c r="AB6" s="25" t="s">
        <v>63</v>
      </c>
      <c r="AC6" s="26" t="s">
        <v>73</v>
      </c>
      <c r="AD6" s="23" t="s">
        <v>347</v>
      </c>
      <c r="AE6" s="24" t="s">
        <v>73</v>
      </c>
      <c r="AF6" s="25" t="s">
        <v>481</v>
      </c>
      <c r="AG6" s="26" t="s">
        <v>73</v>
      </c>
      <c r="AH6" s="23" t="s">
        <v>528</v>
      </c>
      <c r="AI6" s="24" t="s">
        <v>73</v>
      </c>
      <c r="AJ6" s="25" t="s">
        <v>497</v>
      </c>
      <c r="AK6" s="26" t="s">
        <v>618</v>
      </c>
      <c r="AL6" s="23" t="s">
        <v>549</v>
      </c>
      <c r="AM6" s="24" t="s">
        <v>618</v>
      </c>
      <c r="AN6" s="25" t="s">
        <v>329</v>
      </c>
      <c r="AO6" s="26" t="s">
        <v>634</v>
      </c>
      <c r="AP6" s="23" t="s">
        <v>73</v>
      </c>
      <c r="AQ6" s="24" t="s">
        <v>73</v>
      </c>
      <c r="AR6" s="25" t="s">
        <v>73</v>
      </c>
      <c r="AS6" s="26" t="s">
        <v>73</v>
      </c>
      <c r="AV6" s="193" t="s">
        <v>72</v>
      </c>
      <c r="AW6" s="23">
        <f t="shared" si="3"/>
        <v>2</v>
      </c>
      <c r="AX6" s="198">
        <f t="shared" si="3"/>
        <v>1</v>
      </c>
      <c r="AY6" s="198">
        <f t="shared" si="0"/>
        <v>3</v>
      </c>
      <c r="AZ6" s="198">
        <f t="shared" si="0"/>
        <v>5</v>
      </c>
      <c r="BA6" s="198">
        <f t="shared" si="0"/>
        <v>4</v>
      </c>
      <c r="BB6" s="198">
        <f t="shared" si="0"/>
        <v>6</v>
      </c>
      <c r="BC6" s="198">
        <f t="shared" si="0"/>
        <v>13</v>
      </c>
      <c r="BD6" s="198">
        <f t="shared" si="0"/>
        <v>20</v>
      </c>
      <c r="BE6" s="198">
        <f t="shared" si="0"/>
        <v>7</v>
      </c>
      <c r="BF6" s="198">
        <f t="shared" si="0"/>
        <v>8</v>
      </c>
      <c r="BG6" s="198">
        <f t="shared" si="0"/>
        <v>12</v>
      </c>
      <c r="BH6" s="198">
        <f t="shared" si="0"/>
        <v>10</v>
      </c>
      <c r="BI6" s="198">
        <f t="shared" si="0"/>
        <v>15</v>
      </c>
      <c r="BJ6" s="198">
        <f t="shared" si="0"/>
        <v>16</v>
      </c>
      <c r="BK6" s="198">
        <f t="shared" si="0"/>
        <v>14</v>
      </c>
      <c r="BL6" s="198">
        <f t="shared" si="0"/>
        <v>18</v>
      </c>
      <c r="BM6" s="198">
        <f t="shared" si="0"/>
        <v>9</v>
      </c>
      <c r="BN6" s="198">
        <f t="shared" si="0"/>
        <v>11</v>
      </c>
      <c r="BO6" s="198">
        <f t="shared" si="0"/>
        <v>19</v>
      </c>
      <c r="BP6" s="198">
        <f t="shared" si="1"/>
        <v>17</v>
      </c>
      <c r="BQ6" s="198">
        <f t="shared" si="0"/>
        <v>0</v>
      </c>
      <c r="BR6" s="198">
        <f t="shared" si="2"/>
        <v>0</v>
      </c>
      <c r="BS6" s="196" t="s">
        <v>73</v>
      </c>
    </row>
    <row r="7" spans="1:71" ht="15" customHeight="1" x14ac:dyDescent="0.2">
      <c r="A7" s="77" t="s">
        <v>300</v>
      </c>
      <c r="B7" s="23" t="s">
        <v>66</v>
      </c>
      <c r="C7" s="24" t="s">
        <v>73</v>
      </c>
      <c r="D7" s="25" t="s">
        <v>350</v>
      </c>
      <c r="E7" s="26" t="s">
        <v>73</v>
      </c>
      <c r="F7" s="23" t="s">
        <v>390</v>
      </c>
      <c r="G7" s="24" t="s">
        <v>73</v>
      </c>
      <c r="H7" s="25" t="s">
        <v>67</v>
      </c>
      <c r="I7" s="26" t="s">
        <v>73</v>
      </c>
      <c r="J7" s="23" t="s">
        <v>369</v>
      </c>
      <c r="K7" s="24" t="s">
        <v>73</v>
      </c>
      <c r="L7" s="25" t="s">
        <v>348</v>
      </c>
      <c r="M7" s="26" t="s">
        <v>73</v>
      </c>
      <c r="N7" s="23" t="s">
        <v>365</v>
      </c>
      <c r="O7" s="24" t="s">
        <v>73</v>
      </c>
      <c r="P7" s="25" t="s">
        <v>496</v>
      </c>
      <c r="Q7" s="26" t="s">
        <v>618</v>
      </c>
      <c r="R7" s="23" t="s">
        <v>418</v>
      </c>
      <c r="S7" s="24" t="s">
        <v>73</v>
      </c>
      <c r="T7" s="25" t="s">
        <v>542</v>
      </c>
      <c r="U7" s="26" t="s">
        <v>73</v>
      </c>
      <c r="V7" s="23" t="s">
        <v>329</v>
      </c>
      <c r="W7" s="24" t="s">
        <v>73</v>
      </c>
      <c r="X7" s="25" t="s">
        <v>529</v>
      </c>
      <c r="Y7" s="26" t="s">
        <v>73</v>
      </c>
      <c r="Z7" s="23" t="s">
        <v>349</v>
      </c>
      <c r="AA7" s="24" t="s">
        <v>73</v>
      </c>
      <c r="AB7" s="25" t="s">
        <v>63</v>
      </c>
      <c r="AC7" s="26" t="s">
        <v>73</v>
      </c>
      <c r="AD7" s="23" t="s">
        <v>500</v>
      </c>
      <c r="AE7" s="24" t="s">
        <v>73</v>
      </c>
      <c r="AF7" s="25" t="s">
        <v>347</v>
      </c>
      <c r="AG7" s="26" t="s">
        <v>73</v>
      </c>
      <c r="AH7" s="23" t="s">
        <v>481</v>
      </c>
      <c r="AI7" s="24" t="s">
        <v>73</v>
      </c>
      <c r="AJ7" s="25" t="s">
        <v>497</v>
      </c>
      <c r="AK7" s="26" t="s">
        <v>618</v>
      </c>
      <c r="AL7" s="23" t="s">
        <v>549</v>
      </c>
      <c r="AM7" s="24" t="s">
        <v>73</v>
      </c>
      <c r="AN7" s="25" t="s">
        <v>528</v>
      </c>
      <c r="AO7" s="26" t="s">
        <v>73</v>
      </c>
      <c r="AP7" s="23" t="s">
        <v>73</v>
      </c>
      <c r="AQ7" s="24" t="s">
        <v>73</v>
      </c>
      <c r="AR7" s="25" t="s">
        <v>73</v>
      </c>
      <c r="AS7" s="26" t="s">
        <v>73</v>
      </c>
      <c r="AV7" s="193" t="s">
        <v>74</v>
      </c>
      <c r="AW7" s="23">
        <f t="shared" si="3"/>
        <v>1</v>
      </c>
      <c r="AX7" s="198">
        <f t="shared" si="3"/>
        <v>2</v>
      </c>
      <c r="AY7" s="198">
        <f t="shared" si="0"/>
        <v>4</v>
      </c>
      <c r="AZ7" s="198">
        <f t="shared" si="0"/>
        <v>15</v>
      </c>
      <c r="BA7" s="198">
        <f t="shared" si="0"/>
        <v>3</v>
      </c>
      <c r="BB7" s="198">
        <f t="shared" si="0"/>
        <v>8</v>
      </c>
      <c r="BC7" s="198">
        <f t="shared" si="0"/>
        <v>6</v>
      </c>
      <c r="BD7" s="198">
        <f t="shared" si="0"/>
        <v>11</v>
      </c>
      <c r="BE7" s="198">
        <f t="shared" si="0"/>
        <v>13</v>
      </c>
      <c r="BF7" s="198">
        <f t="shared" si="0"/>
        <v>5</v>
      </c>
      <c r="BG7" s="198">
        <f t="shared" si="0"/>
        <v>9</v>
      </c>
      <c r="BH7" s="198">
        <f t="shared" si="0"/>
        <v>12</v>
      </c>
      <c r="BI7" s="198">
        <f t="shared" si="0"/>
        <v>16</v>
      </c>
      <c r="BJ7" s="198">
        <f t="shared" si="0"/>
        <v>17</v>
      </c>
      <c r="BK7" s="198">
        <f t="shared" si="0"/>
        <v>14</v>
      </c>
      <c r="BL7" s="198">
        <f t="shared" si="0"/>
        <v>18</v>
      </c>
      <c r="BM7" s="198">
        <f t="shared" si="0"/>
        <v>7</v>
      </c>
      <c r="BN7" s="198">
        <f t="shared" si="0"/>
        <v>10</v>
      </c>
      <c r="BO7" s="198">
        <f t="shared" si="0"/>
        <v>19</v>
      </c>
      <c r="BP7" s="198">
        <f t="shared" si="1"/>
        <v>20</v>
      </c>
      <c r="BQ7" s="198">
        <f t="shared" si="0"/>
        <v>0</v>
      </c>
      <c r="BR7" s="198">
        <f t="shared" si="2"/>
        <v>0</v>
      </c>
      <c r="BS7" s="196" t="s">
        <v>73</v>
      </c>
    </row>
    <row r="8" spans="1:71" ht="15" customHeight="1" x14ac:dyDescent="0.2">
      <c r="A8" s="77" t="s">
        <v>301</v>
      </c>
      <c r="B8" s="23" t="s">
        <v>67</v>
      </c>
      <c r="C8" s="24" t="s">
        <v>73</v>
      </c>
      <c r="D8" s="25" t="s">
        <v>66</v>
      </c>
      <c r="E8" s="26" t="s">
        <v>73</v>
      </c>
      <c r="F8" s="23" t="s">
        <v>500</v>
      </c>
      <c r="G8" s="24" t="s">
        <v>73</v>
      </c>
      <c r="H8" s="25" t="s">
        <v>348</v>
      </c>
      <c r="I8" s="26" t="s">
        <v>73</v>
      </c>
      <c r="J8" s="23" t="s">
        <v>496</v>
      </c>
      <c r="K8" s="24" t="s">
        <v>73</v>
      </c>
      <c r="L8" s="25" t="s">
        <v>350</v>
      </c>
      <c r="M8" s="26" t="s">
        <v>73</v>
      </c>
      <c r="N8" s="23" t="s">
        <v>329</v>
      </c>
      <c r="O8" s="24" t="s">
        <v>73</v>
      </c>
      <c r="P8" s="25" t="s">
        <v>529</v>
      </c>
      <c r="Q8" s="26" t="s">
        <v>73</v>
      </c>
      <c r="R8" s="23" t="s">
        <v>390</v>
      </c>
      <c r="S8" s="24" t="s">
        <v>73</v>
      </c>
      <c r="T8" s="25" t="s">
        <v>365</v>
      </c>
      <c r="U8" s="26" t="s">
        <v>73</v>
      </c>
      <c r="V8" s="23" t="s">
        <v>418</v>
      </c>
      <c r="W8" s="24" t="s">
        <v>618</v>
      </c>
      <c r="X8" s="25" t="s">
        <v>497</v>
      </c>
      <c r="Y8" s="26" t="s">
        <v>73</v>
      </c>
      <c r="Z8" s="23" t="s">
        <v>542</v>
      </c>
      <c r="AA8" s="24" t="s">
        <v>73</v>
      </c>
      <c r="AB8" s="25" t="s">
        <v>349</v>
      </c>
      <c r="AC8" s="26" t="s">
        <v>73</v>
      </c>
      <c r="AD8" s="23" t="s">
        <v>347</v>
      </c>
      <c r="AE8" s="24" t="s">
        <v>73</v>
      </c>
      <c r="AF8" s="25" t="s">
        <v>63</v>
      </c>
      <c r="AG8" s="26" t="s">
        <v>73</v>
      </c>
      <c r="AH8" s="23" t="s">
        <v>481</v>
      </c>
      <c r="AI8" s="24" t="s">
        <v>73</v>
      </c>
      <c r="AJ8" s="25" t="s">
        <v>549</v>
      </c>
      <c r="AK8" s="26" t="s">
        <v>73</v>
      </c>
      <c r="AL8" s="23" t="s">
        <v>528</v>
      </c>
      <c r="AM8" s="24" t="s">
        <v>73</v>
      </c>
      <c r="AN8" s="25" t="s">
        <v>369</v>
      </c>
      <c r="AO8" s="26" t="s">
        <v>634</v>
      </c>
      <c r="AP8" s="23" t="s">
        <v>73</v>
      </c>
      <c r="AQ8" s="24" t="s">
        <v>73</v>
      </c>
      <c r="AR8" s="25" t="s">
        <v>73</v>
      </c>
      <c r="AS8" s="26" t="s">
        <v>73</v>
      </c>
      <c r="AV8" s="193" t="s">
        <v>76</v>
      </c>
      <c r="AW8" s="23">
        <f t="shared" si="3"/>
        <v>2</v>
      </c>
      <c r="AX8" s="198">
        <f t="shared" si="3"/>
        <v>6</v>
      </c>
      <c r="AY8" s="198">
        <f t="shared" si="0"/>
        <v>1</v>
      </c>
      <c r="AZ8" s="198">
        <f t="shared" si="0"/>
        <v>3</v>
      </c>
      <c r="BA8" s="198">
        <f t="shared" si="0"/>
        <v>9</v>
      </c>
      <c r="BB8" s="198">
        <f t="shared" si="0"/>
        <v>5</v>
      </c>
      <c r="BC8" s="198">
        <f t="shared" si="0"/>
        <v>4</v>
      </c>
      <c r="BD8" s="198">
        <f t="shared" si="0"/>
        <v>7</v>
      </c>
      <c r="BE8" s="198">
        <f t="shared" si="0"/>
        <v>14</v>
      </c>
      <c r="BF8" s="198">
        <f t="shared" si="0"/>
        <v>20</v>
      </c>
      <c r="BG8" s="198">
        <f t="shared" si="0"/>
        <v>11</v>
      </c>
      <c r="BH8" s="198">
        <f t="shared" si="0"/>
        <v>8</v>
      </c>
      <c r="BI8" s="198">
        <f t="shared" si="0"/>
        <v>15</v>
      </c>
      <c r="BJ8" s="198">
        <f t="shared" si="0"/>
        <v>17</v>
      </c>
      <c r="BK8" s="198">
        <f t="shared" si="0"/>
        <v>16</v>
      </c>
      <c r="BL8" s="198">
        <f t="shared" si="0"/>
        <v>12</v>
      </c>
      <c r="BM8" s="198">
        <f t="shared" si="0"/>
        <v>10</v>
      </c>
      <c r="BN8" s="198">
        <f t="shared" si="0"/>
        <v>13</v>
      </c>
      <c r="BO8" s="198">
        <f t="shared" si="0"/>
        <v>18</v>
      </c>
      <c r="BP8" s="198">
        <f t="shared" si="1"/>
        <v>19</v>
      </c>
      <c r="BQ8" s="198">
        <f t="shared" si="0"/>
        <v>0</v>
      </c>
      <c r="BR8" s="198">
        <f t="shared" si="2"/>
        <v>0</v>
      </c>
      <c r="BS8" s="196" t="s">
        <v>73</v>
      </c>
    </row>
    <row r="9" spans="1:71" ht="15" customHeight="1" x14ac:dyDescent="0.2">
      <c r="A9" s="77" t="s">
        <v>302</v>
      </c>
      <c r="B9" s="23" t="s">
        <v>66</v>
      </c>
      <c r="C9" s="24" t="s">
        <v>73</v>
      </c>
      <c r="D9" s="25" t="s">
        <v>350</v>
      </c>
      <c r="E9" s="26" t="s">
        <v>73</v>
      </c>
      <c r="F9" s="23" t="s">
        <v>500</v>
      </c>
      <c r="G9" s="24" t="s">
        <v>73</v>
      </c>
      <c r="H9" s="25" t="s">
        <v>390</v>
      </c>
      <c r="I9" s="26" t="s">
        <v>73</v>
      </c>
      <c r="J9" s="23" t="s">
        <v>529</v>
      </c>
      <c r="K9" s="24" t="s">
        <v>73</v>
      </c>
      <c r="L9" s="25" t="s">
        <v>418</v>
      </c>
      <c r="M9" s="26" t="s">
        <v>73</v>
      </c>
      <c r="N9" s="23" t="s">
        <v>67</v>
      </c>
      <c r="O9" s="24" t="s">
        <v>73</v>
      </c>
      <c r="P9" s="25" t="s">
        <v>348</v>
      </c>
      <c r="Q9" s="26" t="s">
        <v>73</v>
      </c>
      <c r="R9" s="23" t="s">
        <v>496</v>
      </c>
      <c r="S9" s="24" t="s">
        <v>73</v>
      </c>
      <c r="T9" s="25" t="s">
        <v>497</v>
      </c>
      <c r="U9" s="26" t="s">
        <v>73</v>
      </c>
      <c r="V9" s="23" t="s">
        <v>542</v>
      </c>
      <c r="W9" s="24" t="s">
        <v>73</v>
      </c>
      <c r="X9" s="25" t="s">
        <v>63</v>
      </c>
      <c r="Y9" s="26" t="s">
        <v>73</v>
      </c>
      <c r="Z9" s="23" t="s">
        <v>329</v>
      </c>
      <c r="AA9" s="24" t="s">
        <v>73</v>
      </c>
      <c r="AB9" s="25" t="s">
        <v>347</v>
      </c>
      <c r="AC9" s="26" t="s">
        <v>73</v>
      </c>
      <c r="AD9" s="23" t="s">
        <v>369</v>
      </c>
      <c r="AE9" s="24" t="s">
        <v>73</v>
      </c>
      <c r="AF9" s="25" t="s">
        <v>349</v>
      </c>
      <c r="AG9" s="26" t="s">
        <v>73</v>
      </c>
      <c r="AH9" s="23" t="s">
        <v>481</v>
      </c>
      <c r="AI9" s="24" t="s">
        <v>73</v>
      </c>
      <c r="AJ9" s="25" t="s">
        <v>528</v>
      </c>
      <c r="AK9" s="26" t="s">
        <v>73</v>
      </c>
      <c r="AL9" s="23" t="s">
        <v>365</v>
      </c>
      <c r="AM9" s="24" t="s">
        <v>618</v>
      </c>
      <c r="AN9" s="25" t="s">
        <v>549</v>
      </c>
      <c r="AO9" s="26" t="s">
        <v>618</v>
      </c>
      <c r="AP9" s="23" t="s">
        <v>73</v>
      </c>
      <c r="AQ9" s="24" t="s">
        <v>73</v>
      </c>
      <c r="AR9" s="25" t="s">
        <v>73</v>
      </c>
      <c r="AS9" s="26" t="s">
        <v>73</v>
      </c>
      <c r="AV9" s="193" t="s">
        <v>78</v>
      </c>
      <c r="AW9" s="23">
        <f t="shared" si="3"/>
        <v>1</v>
      </c>
      <c r="AX9" s="198">
        <f t="shared" si="3"/>
        <v>2</v>
      </c>
      <c r="AY9" s="198">
        <f t="shared" si="0"/>
        <v>7</v>
      </c>
      <c r="AZ9" s="198">
        <f t="shared" si="0"/>
        <v>3</v>
      </c>
      <c r="BA9" s="198">
        <f t="shared" si="0"/>
        <v>4</v>
      </c>
      <c r="BB9" s="198">
        <f t="shared" si="0"/>
        <v>9</v>
      </c>
      <c r="BC9" s="198">
        <f t="shared" si="0"/>
        <v>8</v>
      </c>
      <c r="BD9" s="198">
        <f t="shared" si="0"/>
        <v>13</v>
      </c>
      <c r="BE9" s="198">
        <f t="shared" si="0"/>
        <v>16</v>
      </c>
      <c r="BF9" s="198">
        <f t="shared" si="0"/>
        <v>15</v>
      </c>
      <c r="BG9" s="198">
        <f t="shared" si="0"/>
        <v>6</v>
      </c>
      <c r="BH9" s="198">
        <f t="shared" si="0"/>
        <v>5</v>
      </c>
      <c r="BI9" s="198">
        <f t="shared" si="0"/>
        <v>14</v>
      </c>
      <c r="BJ9" s="198">
        <f t="shared" si="0"/>
        <v>17</v>
      </c>
      <c r="BK9" s="198">
        <f t="shared" si="0"/>
        <v>12</v>
      </c>
      <c r="BL9" s="198">
        <f t="shared" si="0"/>
        <v>10</v>
      </c>
      <c r="BM9" s="198">
        <f t="shared" si="0"/>
        <v>19</v>
      </c>
      <c r="BN9" s="198">
        <f t="shared" si="0"/>
        <v>11</v>
      </c>
      <c r="BO9" s="198">
        <f t="shared" si="0"/>
        <v>20</v>
      </c>
      <c r="BP9" s="198">
        <f t="shared" si="1"/>
        <v>18</v>
      </c>
      <c r="BQ9" s="198">
        <f t="shared" si="0"/>
        <v>0</v>
      </c>
      <c r="BR9" s="198">
        <f t="shared" si="2"/>
        <v>0</v>
      </c>
      <c r="BS9" s="196" t="s">
        <v>73</v>
      </c>
    </row>
    <row r="10" spans="1:71" ht="15" customHeight="1" x14ac:dyDescent="0.2">
      <c r="A10" s="77" t="s">
        <v>303</v>
      </c>
      <c r="B10" s="23" t="s">
        <v>500</v>
      </c>
      <c r="C10" s="24" t="s">
        <v>73</v>
      </c>
      <c r="D10" s="25" t="s">
        <v>390</v>
      </c>
      <c r="E10" s="26" t="s">
        <v>73</v>
      </c>
      <c r="F10" s="23" t="s">
        <v>350</v>
      </c>
      <c r="G10" s="24" t="s">
        <v>73</v>
      </c>
      <c r="H10" s="25" t="s">
        <v>66</v>
      </c>
      <c r="I10" s="26" t="s">
        <v>618</v>
      </c>
      <c r="J10" s="23" t="s">
        <v>529</v>
      </c>
      <c r="K10" s="24" t="s">
        <v>73</v>
      </c>
      <c r="L10" s="25" t="s">
        <v>63</v>
      </c>
      <c r="M10" s="26" t="s">
        <v>73</v>
      </c>
      <c r="N10" s="23" t="s">
        <v>497</v>
      </c>
      <c r="O10" s="24" t="s">
        <v>73</v>
      </c>
      <c r="P10" s="25" t="s">
        <v>496</v>
      </c>
      <c r="Q10" s="26" t="s">
        <v>73</v>
      </c>
      <c r="R10" s="23" t="s">
        <v>67</v>
      </c>
      <c r="S10" s="24" t="s">
        <v>73</v>
      </c>
      <c r="T10" s="25" t="s">
        <v>369</v>
      </c>
      <c r="U10" s="26" t="s">
        <v>618</v>
      </c>
      <c r="V10" s="23" t="s">
        <v>349</v>
      </c>
      <c r="W10" s="24" t="s">
        <v>73</v>
      </c>
      <c r="X10" s="25" t="s">
        <v>348</v>
      </c>
      <c r="Y10" s="26" t="s">
        <v>73</v>
      </c>
      <c r="Z10" s="23" t="s">
        <v>347</v>
      </c>
      <c r="AA10" s="24" t="s">
        <v>73</v>
      </c>
      <c r="AB10" s="25" t="s">
        <v>481</v>
      </c>
      <c r="AC10" s="26" t="s">
        <v>73</v>
      </c>
      <c r="AD10" s="23" t="s">
        <v>329</v>
      </c>
      <c r="AE10" s="24" t="s">
        <v>73</v>
      </c>
      <c r="AF10" s="25" t="s">
        <v>365</v>
      </c>
      <c r="AG10" s="26" t="s">
        <v>73</v>
      </c>
      <c r="AH10" s="23" t="s">
        <v>528</v>
      </c>
      <c r="AI10" s="24" t="s">
        <v>73</v>
      </c>
      <c r="AJ10" s="25" t="s">
        <v>542</v>
      </c>
      <c r="AK10" s="26" t="s">
        <v>618</v>
      </c>
      <c r="AL10" s="23" t="s">
        <v>418</v>
      </c>
      <c r="AM10" s="24" t="s">
        <v>618</v>
      </c>
      <c r="AN10" s="25" t="s">
        <v>549</v>
      </c>
      <c r="AO10" s="26" t="s">
        <v>634</v>
      </c>
      <c r="AP10" s="23" t="s">
        <v>73</v>
      </c>
      <c r="AQ10" s="24" t="s">
        <v>73</v>
      </c>
      <c r="AR10" s="25" t="s">
        <v>73</v>
      </c>
      <c r="AS10" s="26" t="s">
        <v>73</v>
      </c>
      <c r="AV10" s="193" t="s">
        <v>79</v>
      </c>
      <c r="AW10" s="23">
        <f t="shared" si="3"/>
        <v>4</v>
      </c>
      <c r="AX10" s="198">
        <f t="shared" si="3"/>
        <v>3</v>
      </c>
      <c r="AY10" s="198">
        <f t="shared" si="0"/>
        <v>9</v>
      </c>
      <c r="AZ10" s="198">
        <f t="shared" si="0"/>
        <v>1</v>
      </c>
      <c r="BA10" s="198">
        <f t="shared" si="0"/>
        <v>2</v>
      </c>
      <c r="BB10" s="198">
        <f t="shared" si="0"/>
        <v>8</v>
      </c>
      <c r="BC10" s="198">
        <f t="shared" si="0"/>
        <v>12</v>
      </c>
      <c r="BD10" s="198">
        <f t="shared" si="0"/>
        <v>15</v>
      </c>
      <c r="BE10" s="198">
        <f t="shared" si="0"/>
        <v>11</v>
      </c>
      <c r="BF10" s="198">
        <f t="shared" si="0"/>
        <v>10</v>
      </c>
      <c r="BG10" s="198">
        <f t="shared" si="0"/>
        <v>19</v>
      </c>
      <c r="BH10" s="198">
        <f t="shared" si="0"/>
        <v>5</v>
      </c>
      <c r="BI10" s="198">
        <f t="shared" si="0"/>
        <v>13</v>
      </c>
      <c r="BJ10" s="198">
        <f t="shared" si="0"/>
        <v>14</v>
      </c>
      <c r="BK10" s="198">
        <f t="shared" si="0"/>
        <v>6</v>
      </c>
      <c r="BL10" s="198">
        <f t="shared" si="0"/>
        <v>7</v>
      </c>
      <c r="BM10" s="198">
        <f t="shared" si="0"/>
        <v>16</v>
      </c>
      <c r="BN10" s="198">
        <f t="shared" si="0"/>
        <v>18</v>
      </c>
      <c r="BO10" s="198">
        <f t="shared" si="0"/>
        <v>20</v>
      </c>
      <c r="BP10" s="198">
        <f t="shared" si="1"/>
        <v>17</v>
      </c>
      <c r="BQ10" s="198">
        <f t="shared" si="0"/>
        <v>0</v>
      </c>
      <c r="BR10" s="198">
        <f t="shared" si="2"/>
        <v>0</v>
      </c>
      <c r="BS10" s="196" t="s">
        <v>73</v>
      </c>
    </row>
    <row r="11" spans="1:71" ht="15" customHeight="1" x14ac:dyDescent="0.2">
      <c r="A11" s="77" t="s">
        <v>304</v>
      </c>
      <c r="B11" s="23" t="s">
        <v>350</v>
      </c>
      <c r="C11" s="24" t="s">
        <v>73</v>
      </c>
      <c r="D11" s="25" t="s">
        <v>66</v>
      </c>
      <c r="E11" s="26" t="s">
        <v>73</v>
      </c>
      <c r="F11" s="23" t="s">
        <v>500</v>
      </c>
      <c r="G11" s="24" t="s">
        <v>73</v>
      </c>
      <c r="H11" s="25" t="s">
        <v>390</v>
      </c>
      <c r="I11" s="26" t="s">
        <v>73</v>
      </c>
      <c r="J11" s="23" t="s">
        <v>496</v>
      </c>
      <c r="K11" s="24" t="s">
        <v>73</v>
      </c>
      <c r="L11" s="25" t="s">
        <v>67</v>
      </c>
      <c r="M11" s="26" t="s">
        <v>73</v>
      </c>
      <c r="N11" s="23" t="s">
        <v>348</v>
      </c>
      <c r="O11" s="24" t="s">
        <v>73</v>
      </c>
      <c r="P11" s="25" t="s">
        <v>529</v>
      </c>
      <c r="Q11" s="26" t="s">
        <v>73</v>
      </c>
      <c r="R11" s="23" t="s">
        <v>542</v>
      </c>
      <c r="S11" s="24" t="s">
        <v>73</v>
      </c>
      <c r="T11" s="25" t="s">
        <v>329</v>
      </c>
      <c r="U11" s="26" t="s">
        <v>73</v>
      </c>
      <c r="V11" s="23" t="s">
        <v>497</v>
      </c>
      <c r="W11" s="24" t="s">
        <v>73</v>
      </c>
      <c r="X11" s="25" t="s">
        <v>63</v>
      </c>
      <c r="Y11" s="26" t="s">
        <v>73</v>
      </c>
      <c r="Z11" s="23" t="s">
        <v>418</v>
      </c>
      <c r="AA11" s="24" t="s">
        <v>73</v>
      </c>
      <c r="AB11" s="25" t="s">
        <v>349</v>
      </c>
      <c r="AC11" s="26" t="s">
        <v>73</v>
      </c>
      <c r="AD11" s="23" t="s">
        <v>347</v>
      </c>
      <c r="AE11" s="24" t="s">
        <v>73</v>
      </c>
      <c r="AF11" s="25" t="s">
        <v>369</v>
      </c>
      <c r="AG11" s="26" t="s">
        <v>73</v>
      </c>
      <c r="AH11" s="23" t="s">
        <v>365</v>
      </c>
      <c r="AI11" s="24" t="s">
        <v>73</v>
      </c>
      <c r="AJ11" s="25" t="s">
        <v>481</v>
      </c>
      <c r="AK11" s="26" t="s">
        <v>73</v>
      </c>
      <c r="AL11" s="23" t="s">
        <v>549</v>
      </c>
      <c r="AM11" s="24" t="s">
        <v>73</v>
      </c>
      <c r="AN11" s="25" t="s">
        <v>528</v>
      </c>
      <c r="AO11" s="26" t="s">
        <v>73</v>
      </c>
      <c r="AP11" s="23" t="s">
        <v>73</v>
      </c>
      <c r="AQ11" s="24" t="s">
        <v>73</v>
      </c>
      <c r="AR11" s="25" t="s">
        <v>73</v>
      </c>
      <c r="AS11" s="26" t="s">
        <v>73</v>
      </c>
      <c r="AV11" s="193" t="s">
        <v>80</v>
      </c>
      <c r="AW11" s="23">
        <f t="shared" si="3"/>
        <v>2</v>
      </c>
      <c r="AX11" s="198">
        <f t="shared" si="3"/>
        <v>1</v>
      </c>
      <c r="AY11" s="198">
        <f t="shared" si="0"/>
        <v>6</v>
      </c>
      <c r="AZ11" s="198">
        <f t="shared" si="0"/>
        <v>3</v>
      </c>
      <c r="BA11" s="198">
        <f t="shared" si="0"/>
        <v>4</v>
      </c>
      <c r="BB11" s="198">
        <f t="shared" si="0"/>
        <v>5</v>
      </c>
      <c r="BC11" s="198">
        <f t="shared" si="0"/>
        <v>7</v>
      </c>
      <c r="BD11" s="198">
        <f t="shared" si="0"/>
        <v>10</v>
      </c>
      <c r="BE11" s="198">
        <f t="shared" si="0"/>
        <v>14</v>
      </c>
      <c r="BF11" s="198">
        <f t="shared" si="0"/>
        <v>16</v>
      </c>
      <c r="BG11" s="198">
        <f t="shared" si="0"/>
        <v>13</v>
      </c>
      <c r="BH11" s="198">
        <f t="shared" si="0"/>
        <v>8</v>
      </c>
      <c r="BI11" s="198">
        <f t="shared" si="0"/>
        <v>15</v>
      </c>
      <c r="BJ11" s="198">
        <f t="shared" si="0"/>
        <v>18</v>
      </c>
      <c r="BK11" s="198">
        <f t="shared" si="0"/>
        <v>12</v>
      </c>
      <c r="BL11" s="198">
        <f t="shared" si="0"/>
        <v>11</v>
      </c>
      <c r="BM11" s="198">
        <f t="shared" si="0"/>
        <v>17</v>
      </c>
      <c r="BN11" s="198">
        <f t="shared" si="0"/>
        <v>9</v>
      </c>
      <c r="BO11" s="198">
        <f t="shared" si="0"/>
        <v>19</v>
      </c>
      <c r="BP11" s="198">
        <f t="shared" si="1"/>
        <v>20</v>
      </c>
      <c r="BQ11" s="198">
        <f t="shared" si="0"/>
        <v>0</v>
      </c>
      <c r="BR11" s="198">
        <f t="shared" si="2"/>
        <v>0</v>
      </c>
      <c r="BS11" s="196" t="s">
        <v>73</v>
      </c>
    </row>
    <row r="12" spans="1:71" ht="15" customHeight="1" x14ac:dyDescent="0.2">
      <c r="A12" s="77" t="s">
        <v>305</v>
      </c>
      <c r="B12" s="23" t="s">
        <v>66</v>
      </c>
      <c r="C12" s="24" t="s">
        <v>73</v>
      </c>
      <c r="D12" s="25" t="s">
        <v>390</v>
      </c>
      <c r="E12" s="26" t="s">
        <v>73</v>
      </c>
      <c r="F12" s="23" t="s">
        <v>350</v>
      </c>
      <c r="G12" s="24" t="s">
        <v>73</v>
      </c>
      <c r="H12" s="25" t="s">
        <v>496</v>
      </c>
      <c r="I12" s="26" t="s">
        <v>73</v>
      </c>
      <c r="J12" s="23" t="s">
        <v>63</v>
      </c>
      <c r="K12" s="24" t="s">
        <v>73</v>
      </c>
      <c r="L12" s="25" t="s">
        <v>349</v>
      </c>
      <c r="M12" s="26" t="s">
        <v>73</v>
      </c>
      <c r="N12" s="23" t="s">
        <v>418</v>
      </c>
      <c r="O12" s="24" t="s">
        <v>73</v>
      </c>
      <c r="P12" s="25" t="s">
        <v>347</v>
      </c>
      <c r="Q12" s="26" t="s">
        <v>73</v>
      </c>
      <c r="R12" s="23" t="s">
        <v>329</v>
      </c>
      <c r="S12" s="24" t="s">
        <v>73</v>
      </c>
      <c r="T12" s="25" t="s">
        <v>500</v>
      </c>
      <c r="U12" s="26" t="s">
        <v>73</v>
      </c>
      <c r="V12" s="23" t="s">
        <v>497</v>
      </c>
      <c r="W12" s="24" t="s">
        <v>73</v>
      </c>
      <c r="X12" s="25" t="s">
        <v>369</v>
      </c>
      <c r="Y12" s="26" t="s">
        <v>73</v>
      </c>
      <c r="Z12" s="23" t="s">
        <v>348</v>
      </c>
      <c r="AA12" s="24" t="s">
        <v>73</v>
      </c>
      <c r="AB12" s="25" t="s">
        <v>365</v>
      </c>
      <c r="AC12" s="26" t="s">
        <v>73</v>
      </c>
      <c r="AD12" s="23" t="s">
        <v>481</v>
      </c>
      <c r="AE12" s="24" t="s">
        <v>73</v>
      </c>
      <c r="AF12" s="25" t="s">
        <v>542</v>
      </c>
      <c r="AG12" s="26" t="s">
        <v>73</v>
      </c>
      <c r="AH12" s="23" t="s">
        <v>549</v>
      </c>
      <c r="AI12" s="24" t="s">
        <v>73</v>
      </c>
      <c r="AJ12" s="25" t="s">
        <v>528</v>
      </c>
      <c r="AK12" s="26" t="s">
        <v>73</v>
      </c>
      <c r="AL12" s="23" t="s">
        <v>529</v>
      </c>
      <c r="AM12" s="24" t="s">
        <v>618</v>
      </c>
      <c r="AN12" s="25" t="s">
        <v>67</v>
      </c>
      <c r="AO12" s="26" t="s">
        <v>618</v>
      </c>
      <c r="AP12" s="23" t="s">
        <v>73</v>
      </c>
      <c r="AQ12" s="24" t="s">
        <v>73</v>
      </c>
      <c r="AR12" s="25" t="s">
        <v>73</v>
      </c>
      <c r="AS12" s="26" t="s">
        <v>73</v>
      </c>
      <c r="AV12" s="193" t="s">
        <v>82</v>
      </c>
      <c r="AW12" s="23">
        <f t="shared" si="3"/>
        <v>1</v>
      </c>
      <c r="AX12" s="198">
        <f t="shared" si="3"/>
        <v>3</v>
      </c>
      <c r="AY12" s="198">
        <f t="shared" si="0"/>
        <v>20</v>
      </c>
      <c r="AZ12" s="198">
        <f t="shared" si="0"/>
        <v>10</v>
      </c>
      <c r="BA12" s="198">
        <f t="shared" si="0"/>
        <v>2</v>
      </c>
      <c r="BB12" s="198">
        <f t="shared" si="0"/>
        <v>4</v>
      </c>
      <c r="BC12" s="198">
        <f t="shared" si="0"/>
        <v>13</v>
      </c>
      <c r="BD12" s="198">
        <f t="shared" si="0"/>
        <v>9</v>
      </c>
      <c r="BE12" s="198">
        <f t="shared" si="0"/>
        <v>6</v>
      </c>
      <c r="BF12" s="198">
        <f t="shared" si="0"/>
        <v>12</v>
      </c>
      <c r="BG12" s="198">
        <f t="shared" si="0"/>
        <v>7</v>
      </c>
      <c r="BH12" s="198">
        <f t="shared" si="0"/>
        <v>19</v>
      </c>
      <c r="BI12" s="198">
        <f t="shared" si="0"/>
        <v>8</v>
      </c>
      <c r="BJ12" s="198">
        <f t="shared" si="0"/>
        <v>15</v>
      </c>
      <c r="BK12" s="198">
        <f t="shared" si="0"/>
        <v>5</v>
      </c>
      <c r="BL12" s="198">
        <f t="shared" si="0"/>
        <v>11</v>
      </c>
      <c r="BM12" s="198">
        <f t="shared" si="0"/>
        <v>14</v>
      </c>
      <c r="BN12" s="198">
        <f t="shared" si="0"/>
        <v>16</v>
      </c>
      <c r="BO12" s="198">
        <f t="shared" si="0"/>
        <v>17</v>
      </c>
      <c r="BP12" s="198">
        <f t="shared" si="1"/>
        <v>18</v>
      </c>
      <c r="BQ12" s="198">
        <f t="shared" si="0"/>
        <v>0</v>
      </c>
      <c r="BR12" s="198">
        <f t="shared" si="2"/>
        <v>0</v>
      </c>
      <c r="BS12" s="196" t="s">
        <v>73</v>
      </c>
    </row>
    <row r="13" spans="1:71" ht="15" customHeight="1" x14ac:dyDescent="0.2">
      <c r="A13" s="77" t="s">
        <v>306</v>
      </c>
      <c r="B13" s="23" t="s">
        <v>390</v>
      </c>
      <c r="C13" s="24" t="s">
        <v>73</v>
      </c>
      <c r="D13" s="25" t="s">
        <v>350</v>
      </c>
      <c r="E13" s="26" t="s">
        <v>73</v>
      </c>
      <c r="F13" s="23" t="s">
        <v>66</v>
      </c>
      <c r="G13" s="24" t="s">
        <v>73</v>
      </c>
      <c r="H13" s="25" t="s">
        <v>500</v>
      </c>
      <c r="I13" s="26" t="s">
        <v>73</v>
      </c>
      <c r="J13" s="23" t="s">
        <v>67</v>
      </c>
      <c r="K13" s="24" t="s">
        <v>73</v>
      </c>
      <c r="L13" s="25" t="s">
        <v>496</v>
      </c>
      <c r="M13" s="26" t="s">
        <v>73</v>
      </c>
      <c r="N13" s="23" t="s">
        <v>529</v>
      </c>
      <c r="O13" s="24" t="s">
        <v>73</v>
      </c>
      <c r="P13" s="25" t="s">
        <v>418</v>
      </c>
      <c r="Q13" s="26" t="s">
        <v>73</v>
      </c>
      <c r="R13" s="23" t="s">
        <v>349</v>
      </c>
      <c r="S13" s="24" t="s">
        <v>73</v>
      </c>
      <c r="T13" s="25" t="s">
        <v>63</v>
      </c>
      <c r="U13" s="26" t="s">
        <v>73</v>
      </c>
      <c r="V13" s="23" t="s">
        <v>329</v>
      </c>
      <c r="W13" s="24" t="s">
        <v>73</v>
      </c>
      <c r="X13" s="25" t="s">
        <v>542</v>
      </c>
      <c r="Y13" s="26" t="s">
        <v>73</v>
      </c>
      <c r="Z13" s="23" t="s">
        <v>365</v>
      </c>
      <c r="AA13" s="24" t="s">
        <v>73</v>
      </c>
      <c r="AB13" s="25" t="s">
        <v>369</v>
      </c>
      <c r="AC13" s="26" t="s">
        <v>73</v>
      </c>
      <c r="AD13" s="23" t="s">
        <v>549</v>
      </c>
      <c r="AE13" s="24" t="s">
        <v>73</v>
      </c>
      <c r="AF13" s="25" t="s">
        <v>347</v>
      </c>
      <c r="AG13" s="26" t="s">
        <v>73</v>
      </c>
      <c r="AH13" s="23" t="s">
        <v>497</v>
      </c>
      <c r="AI13" s="24" t="s">
        <v>618</v>
      </c>
      <c r="AJ13" s="25" t="s">
        <v>481</v>
      </c>
      <c r="AK13" s="26" t="s">
        <v>73</v>
      </c>
      <c r="AL13" s="23" t="s">
        <v>528</v>
      </c>
      <c r="AM13" s="24" t="s">
        <v>73</v>
      </c>
      <c r="AN13" s="25" t="s">
        <v>348</v>
      </c>
      <c r="AO13" s="26" t="s">
        <v>618</v>
      </c>
      <c r="AP13" s="23" t="s">
        <v>73</v>
      </c>
      <c r="AQ13" s="24" t="s">
        <v>73</v>
      </c>
      <c r="AR13" s="25" t="s">
        <v>73</v>
      </c>
      <c r="AS13" s="26" t="s">
        <v>73</v>
      </c>
      <c r="AV13" s="193" t="s">
        <v>84</v>
      </c>
      <c r="AW13" s="23">
        <f t="shared" si="3"/>
        <v>3</v>
      </c>
      <c r="AX13" s="198">
        <f t="shared" si="3"/>
        <v>2</v>
      </c>
      <c r="AY13" s="198">
        <f t="shared" si="0"/>
        <v>5</v>
      </c>
      <c r="AZ13" s="198">
        <f t="shared" si="0"/>
        <v>4</v>
      </c>
      <c r="BA13" s="198">
        <f t="shared" si="0"/>
        <v>1</v>
      </c>
      <c r="BB13" s="198">
        <f t="shared" si="0"/>
        <v>6</v>
      </c>
      <c r="BC13" s="198">
        <f t="shared" si="0"/>
        <v>20</v>
      </c>
      <c r="BD13" s="198">
        <f t="shared" si="0"/>
        <v>11</v>
      </c>
      <c r="BE13" s="198">
        <f t="shared" si="0"/>
        <v>9</v>
      </c>
      <c r="BF13" s="198">
        <f t="shared" si="0"/>
        <v>14</v>
      </c>
      <c r="BG13" s="198">
        <f t="shared" si="0"/>
        <v>8</v>
      </c>
      <c r="BH13" s="198">
        <f t="shared" si="0"/>
        <v>7</v>
      </c>
      <c r="BI13" s="198">
        <f t="shared" si="0"/>
        <v>16</v>
      </c>
      <c r="BJ13" s="198">
        <f t="shared" si="0"/>
        <v>18</v>
      </c>
      <c r="BK13" s="198">
        <f t="shared" si="0"/>
        <v>10</v>
      </c>
      <c r="BL13" s="198">
        <f t="shared" si="0"/>
        <v>17</v>
      </c>
      <c r="BM13" s="198">
        <f t="shared" si="0"/>
        <v>13</v>
      </c>
      <c r="BN13" s="198">
        <f t="shared" si="0"/>
        <v>12</v>
      </c>
      <c r="BO13" s="198">
        <f t="shared" si="0"/>
        <v>15</v>
      </c>
      <c r="BP13" s="198">
        <f t="shared" si="1"/>
        <v>19</v>
      </c>
      <c r="BQ13" s="198">
        <f t="shared" si="0"/>
        <v>0</v>
      </c>
      <c r="BR13" s="198">
        <f t="shared" si="2"/>
        <v>0</v>
      </c>
      <c r="BS13" s="196" t="s">
        <v>73</v>
      </c>
    </row>
    <row r="14" spans="1:71" ht="15" customHeight="1" x14ac:dyDescent="0.2">
      <c r="A14" s="77" t="s">
        <v>307</v>
      </c>
      <c r="B14" s="23" t="s">
        <v>500</v>
      </c>
      <c r="C14" s="24" t="s">
        <v>73</v>
      </c>
      <c r="D14" s="25" t="s">
        <v>67</v>
      </c>
      <c r="E14" s="26" t="s">
        <v>73</v>
      </c>
      <c r="F14" s="23" t="s">
        <v>66</v>
      </c>
      <c r="G14" s="24" t="s">
        <v>73</v>
      </c>
      <c r="H14" s="25" t="s">
        <v>350</v>
      </c>
      <c r="I14" s="26" t="s">
        <v>73</v>
      </c>
      <c r="J14" s="23" t="s">
        <v>390</v>
      </c>
      <c r="K14" s="24" t="s">
        <v>73</v>
      </c>
      <c r="L14" s="25" t="s">
        <v>63</v>
      </c>
      <c r="M14" s="26" t="s">
        <v>73</v>
      </c>
      <c r="N14" s="23" t="s">
        <v>347</v>
      </c>
      <c r="O14" s="24" t="s">
        <v>73</v>
      </c>
      <c r="P14" s="25" t="s">
        <v>369</v>
      </c>
      <c r="Q14" s="26" t="s">
        <v>73</v>
      </c>
      <c r="R14" s="23" t="s">
        <v>349</v>
      </c>
      <c r="S14" s="24" t="s">
        <v>73</v>
      </c>
      <c r="T14" s="25" t="s">
        <v>348</v>
      </c>
      <c r="U14" s="26" t="s">
        <v>618</v>
      </c>
      <c r="V14" s="23" t="s">
        <v>529</v>
      </c>
      <c r="W14" s="24" t="s">
        <v>73</v>
      </c>
      <c r="X14" s="25" t="s">
        <v>329</v>
      </c>
      <c r="Y14" s="26" t="s">
        <v>618</v>
      </c>
      <c r="Z14" s="23" t="s">
        <v>706</v>
      </c>
      <c r="AA14" s="24" t="s">
        <v>73</v>
      </c>
      <c r="AB14" s="25" t="s">
        <v>549</v>
      </c>
      <c r="AC14" s="26" t="s">
        <v>73</v>
      </c>
      <c r="AD14" s="23" t="s">
        <v>418</v>
      </c>
      <c r="AE14" s="24" t="s">
        <v>618</v>
      </c>
      <c r="AF14" s="25" t="s">
        <v>481</v>
      </c>
      <c r="AG14" s="26" t="s">
        <v>618</v>
      </c>
      <c r="AH14" s="23" t="s">
        <v>705</v>
      </c>
      <c r="AI14" s="24" t="s">
        <v>618</v>
      </c>
      <c r="AJ14" s="25" t="s">
        <v>497</v>
      </c>
      <c r="AK14" s="26" t="s">
        <v>618</v>
      </c>
      <c r="AL14" s="23" t="s">
        <v>365</v>
      </c>
      <c r="AM14" s="24" t="s">
        <v>618</v>
      </c>
      <c r="AN14" s="25" t="s">
        <v>528</v>
      </c>
      <c r="AO14" s="26" t="s">
        <v>634</v>
      </c>
      <c r="AP14" s="23" t="s">
        <v>73</v>
      </c>
      <c r="AQ14" s="24" t="s">
        <v>73</v>
      </c>
      <c r="AR14" s="25" t="s">
        <v>73</v>
      </c>
      <c r="AS14" s="26" t="s">
        <v>73</v>
      </c>
      <c r="AV14" s="193" t="s">
        <v>85</v>
      </c>
      <c r="AW14" s="23">
        <f t="shared" si="3"/>
        <v>3</v>
      </c>
      <c r="AX14" s="198">
        <f t="shared" si="3"/>
        <v>4</v>
      </c>
      <c r="AY14" s="198">
        <f t="shared" si="0"/>
        <v>2</v>
      </c>
      <c r="AZ14" s="198">
        <f t="shared" si="0"/>
        <v>1</v>
      </c>
      <c r="BA14" s="198">
        <f t="shared" si="0"/>
        <v>5</v>
      </c>
      <c r="BB14" s="198">
        <f t="shared" si="0"/>
        <v>0</v>
      </c>
      <c r="BC14" s="198">
        <f t="shared" si="0"/>
        <v>10</v>
      </c>
      <c r="BD14" s="198">
        <f t="shared" si="0"/>
        <v>12</v>
      </c>
      <c r="BE14" s="198">
        <f t="shared" si="0"/>
        <v>9</v>
      </c>
      <c r="BF14" s="198">
        <f t="shared" si="0"/>
        <v>8</v>
      </c>
      <c r="BG14" s="198">
        <f t="shared" si="0"/>
        <v>15</v>
      </c>
      <c r="BH14" s="198">
        <f t="shared" si="0"/>
        <v>11</v>
      </c>
      <c r="BI14" s="198">
        <f t="shared" si="0"/>
        <v>7</v>
      </c>
      <c r="BJ14" s="198">
        <f t="shared" si="0"/>
        <v>16</v>
      </c>
      <c r="BK14" s="198">
        <f t="shared" si="0"/>
        <v>6</v>
      </c>
      <c r="BL14" s="198">
        <f t="shared" si="0"/>
        <v>18</v>
      </c>
      <c r="BM14" s="198">
        <f t="shared" si="0"/>
        <v>19</v>
      </c>
      <c r="BN14" s="198">
        <f t="shared" si="0"/>
        <v>0</v>
      </c>
      <c r="BO14" s="198">
        <f t="shared" si="0"/>
        <v>14</v>
      </c>
      <c r="BP14" s="198">
        <f t="shared" si="1"/>
        <v>20</v>
      </c>
      <c r="BQ14" s="198">
        <f t="shared" si="0"/>
        <v>13</v>
      </c>
      <c r="BR14" s="198">
        <f t="shared" si="2"/>
        <v>17</v>
      </c>
      <c r="BS14" s="196" t="s">
        <v>73</v>
      </c>
    </row>
    <row r="15" spans="1:71" ht="15" customHeight="1" x14ac:dyDescent="0.2">
      <c r="A15" s="77" t="s">
        <v>308</v>
      </c>
      <c r="B15" s="23" t="s">
        <v>500</v>
      </c>
      <c r="C15" s="24" t="s">
        <v>73</v>
      </c>
      <c r="D15" s="25" t="s">
        <v>66</v>
      </c>
      <c r="E15" s="26" t="s">
        <v>73</v>
      </c>
      <c r="F15" s="23" t="s">
        <v>350</v>
      </c>
      <c r="G15" s="24" t="s">
        <v>73</v>
      </c>
      <c r="H15" s="25" t="s">
        <v>67</v>
      </c>
      <c r="I15" s="26" t="s">
        <v>73</v>
      </c>
      <c r="J15" s="23" t="s">
        <v>348</v>
      </c>
      <c r="K15" s="24" t="s">
        <v>73</v>
      </c>
      <c r="L15" s="25" t="s">
        <v>329</v>
      </c>
      <c r="M15" s="26" t="s">
        <v>73</v>
      </c>
      <c r="N15" s="23" t="s">
        <v>418</v>
      </c>
      <c r="O15" s="24" t="s">
        <v>73</v>
      </c>
      <c r="P15" s="25" t="s">
        <v>705</v>
      </c>
      <c r="Q15" s="26" t="s">
        <v>73</v>
      </c>
      <c r="R15" s="23" t="s">
        <v>481</v>
      </c>
      <c r="S15" s="24" t="s">
        <v>73</v>
      </c>
      <c r="T15" s="25" t="s">
        <v>497</v>
      </c>
      <c r="U15" s="26" t="s">
        <v>73</v>
      </c>
      <c r="V15" s="23" t="s">
        <v>369</v>
      </c>
      <c r="W15" s="24" t="s">
        <v>73</v>
      </c>
      <c r="X15" s="25" t="s">
        <v>365</v>
      </c>
      <c r="Y15" s="26" t="s">
        <v>73</v>
      </c>
      <c r="Z15" s="23" t="s">
        <v>349</v>
      </c>
      <c r="AA15" s="24" t="s">
        <v>73</v>
      </c>
      <c r="AB15" s="25" t="s">
        <v>549</v>
      </c>
      <c r="AC15" s="26" t="s">
        <v>73</v>
      </c>
      <c r="AD15" s="23" t="s">
        <v>528</v>
      </c>
      <c r="AE15" s="24" t="s">
        <v>73</v>
      </c>
      <c r="AF15" s="25" t="s">
        <v>529</v>
      </c>
      <c r="AG15" s="26" t="s">
        <v>618</v>
      </c>
      <c r="AH15" s="23" t="s">
        <v>706</v>
      </c>
      <c r="AI15" s="24" t="s">
        <v>618</v>
      </c>
      <c r="AJ15" s="25" t="s">
        <v>347</v>
      </c>
      <c r="AK15" s="26" t="s">
        <v>618</v>
      </c>
      <c r="AL15" s="23" t="s">
        <v>390</v>
      </c>
      <c r="AM15" s="24" t="s">
        <v>618</v>
      </c>
      <c r="AN15" s="25" t="s">
        <v>63</v>
      </c>
      <c r="AO15" s="26" t="s">
        <v>634</v>
      </c>
      <c r="AP15" s="23" t="s">
        <v>73</v>
      </c>
      <c r="AQ15" s="24" t="s">
        <v>73</v>
      </c>
      <c r="AR15" s="25" t="s">
        <v>73</v>
      </c>
      <c r="AS15" s="26" t="s">
        <v>73</v>
      </c>
      <c r="AV15" s="193" t="s">
        <v>87</v>
      </c>
      <c r="AW15" s="23">
        <f t="shared" si="3"/>
        <v>2</v>
      </c>
      <c r="AX15" s="198">
        <f t="shared" si="3"/>
        <v>3</v>
      </c>
      <c r="AY15" s="198">
        <f t="shared" si="0"/>
        <v>4</v>
      </c>
      <c r="AZ15" s="198">
        <f t="shared" si="0"/>
        <v>1</v>
      </c>
      <c r="BA15" s="198">
        <f t="shared" si="0"/>
        <v>19</v>
      </c>
      <c r="BB15" s="198">
        <f t="shared" si="0"/>
        <v>0</v>
      </c>
      <c r="BC15" s="198">
        <f t="shared" si="0"/>
        <v>5</v>
      </c>
      <c r="BD15" s="198">
        <f t="shared" si="0"/>
        <v>6</v>
      </c>
      <c r="BE15" s="198">
        <f t="shared" si="0"/>
        <v>13</v>
      </c>
      <c r="BF15" s="198">
        <f t="shared" si="0"/>
        <v>11</v>
      </c>
      <c r="BG15" s="198">
        <f t="shared" si="0"/>
        <v>7</v>
      </c>
      <c r="BH15" s="198">
        <f t="shared" si="0"/>
        <v>16</v>
      </c>
      <c r="BI15" s="198">
        <f t="shared" si="0"/>
        <v>18</v>
      </c>
      <c r="BJ15" s="198">
        <f t="shared" si="0"/>
        <v>9</v>
      </c>
      <c r="BK15" s="198">
        <f t="shared" si="0"/>
        <v>20</v>
      </c>
      <c r="BL15" s="198">
        <f t="shared" si="0"/>
        <v>10</v>
      </c>
      <c r="BM15" s="198">
        <f t="shared" si="0"/>
        <v>12</v>
      </c>
      <c r="BN15" s="198">
        <f t="shared" si="0"/>
        <v>0</v>
      </c>
      <c r="BO15" s="198">
        <f t="shared" si="0"/>
        <v>14</v>
      </c>
      <c r="BP15" s="198">
        <f t="shared" si="1"/>
        <v>15</v>
      </c>
      <c r="BQ15" s="198">
        <f t="shared" si="0"/>
        <v>17</v>
      </c>
      <c r="BR15" s="198">
        <f t="shared" si="2"/>
        <v>8</v>
      </c>
      <c r="BS15" s="196" t="s">
        <v>73</v>
      </c>
    </row>
    <row r="16" spans="1:71" ht="15" customHeight="1" x14ac:dyDescent="0.2">
      <c r="A16" s="77" t="s">
        <v>309</v>
      </c>
      <c r="B16" s="23" t="s">
        <v>73</v>
      </c>
      <c r="C16" s="24" t="s">
        <v>73</v>
      </c>
      <c r="D16" s="25" t="s">
        <v>73</v>
      </c>
      <c r="E16" s="26" t="s">
        <v>73</v>
      </c>
      <c r="F16" s="23" t="s">
        <v>73</v>
      </c>
      <c r="G16" s="24" t="s">
        <v>73</v>
      </c>
      <c r="H16" s="25" t="s">
        <v>73</v>
      </c>
      <c r="I16" s="26" t="s">
        <v>73</v>
      </c>
      <c r="J16" s="23" t="s">
        <v>73</v>
      </c>
      <c r="K16" s="24" t="s">
        <v>73</v>
      </c>
      <c r="L16" s="25" t="s">
        <v>73</v>
      </c>
      <c r="M16" s="26" t="s">
        <v>73</v>
      </c>
      <c r="N16" s="23" t="s">
        <v>73</v>
      </c>
      <c r="O16" s="24" t="s">
        <v>73</v>
      </c>
      <c r="P16" s="25" t="s">
        <v>73</v>
      </c>
      <c r="Q16" s="26" t="s">
        <v>73</v>
      </c>
      <c r="R16" s="23" t="s">
        <v>73</v>
      </c>
      <c r="S16" s="24" t="s">
        <v>73</v>
      </c>
      <c r="T16" s="25" t="s">
        <v>73</v>
      </c>
      <c r="U16" s="26" t="s">
        <v>73</v>
      </c>
      <c r="V16" s="23" t="s">
        <v>73</v>
      </c>
      <c r="W16" s="24" t="s">
        <v>73</v>
      </c>
      <c r="X16" s="25" t="s">
        <v>73</v>
      </c>
      <c r="Y16" s="26" t="s">
        <v>73</v>
      </c>
      <c r="Z16" s="23" t="s">
        <v>73</v>
      </c>
      <c r="AA16" s="24" t="s">
        <v>73</v>
      </c>
      <c r="AB16" s="25" t="s">
        <v>73</v>
      </c>
      <c r="AC16" s="26" t="s">
        <v>73</v>
      </c>
      <c r="AD16" s="23" t="s">
        <v>73</v>
      </c>
      <c r="AE16" s="24" t="s">
        <v>73</v>
      </c>
      <c r="AF16" s="25" t="s">
        <v>73</v>
      </c>
      <c r="AG16" s="26" t="s">
        <v>73</v>
      </c>
      <c r="AH16" s="23" t="s">
        <v>73</v>
      </c>
      <c r="AI16" s="24" t="s">
        <v>73</v>
      </c>
      <c r="AJ16" s="25" t="s">
        <v>73</v>
      </c>
      <c r="AK16" s="26" t="s">
        <v>73</v>
      </c>
      <c r="AL16" s="23" t="s">
        <v>73</v>
      </c>
      <c r="AM16" s="24" t="s">
        <v>73</v>
      </c>
      <c r="AN16" s="25" t="s">
        <v>73</v>
      </c>
      <c r="AO16" s="26" t="s">
        <v>73</v>
      </c>
      <c r="AP16" s="23" t="s">
        <v>73</v>
      </c>
      <c r="AQ16" s="24" t="s">
        <v>73</v>
      </c>
      <c r="AR16" s="25" t="s">
        <v>73</v>
      </c>
      <c r="AS16" s="26" t="s">
        <v>73</v>
      </c>
      <c r="AV16" s="193" t="s">
        <v>89</v>
      </c>
      <c r="AW16" s="23">
        <f t="shared" si="3"/>
        <v>0</v>
      </c>
      <c r="AX16" s="198">
        <f t="shared" si="3"/>
        <v>0</v>
      </c>
      <c r="AY16" s="198">
        <f t="shared" si="0"/>
        <v>0</v>
      </c>
      <c r="AZ16" s="198">
        <f t="shared" si="0"/>
        <v>0</v>
      </c>
      <c r="BA16" s="198">
        <f t="shared" si="0"/>
        <v>0</v>
      </c>
      <c r="BB16" s="198">
        <f t="shared" si="0"/>
        <v>0</v>
      </c>
      <c r="BC16" s="198">
        <f t="shared" si="0"/>
        <v>0</v>
      </c>
      <c r="BD16" s="198">
        <f t="shared" si="0"/>
        <v>0</v>
      </c>
      <c r="BE16" s="198">
        <f t="shared" si="0"/>
        <v>0</v>
      </c>
      <c r="BF16" s="198">
        <f t="shared" si="0"/>
        <v>0</v>
      </c>
      <c r="BG16" s="198">
        <f t="shared" si="0"/>
        <v>0</v>
      </c>
      <c r="BH16" s="198">
        <f t="shared" si="0"/>
        <v>0</v>
      </c>
      <c r="BI16" s="198">
        <f t="shared" si="0"/>
        <v>0</v>
      </c>
      <c r="BJ16" s="198">
        <f t="shared" si="0"/>
        <v>0</v>
      </c>
      <c r="BK16" s="198">
        <f t="shared" si="0"/>
        <v>0</v>
      </c>
      <c r="BL16" s="198">
        <f t="shared" si="0"/>
        <v>0</v>
      </c>
      <c r="BM16" s="198">
        <f t="shared" si="0"/>
        <v>0</v>
      </c>
      <c r="BN16" s="198">
        <f t="shared" si="0"/>
        <v>0</v>
      </c>
      <c r="BO16" s="198">
        <f t="shared" si="0"/>
        <v>0</v>
      </c>
      <c r="BP16" s="198">
        <f t="shared" ref="AY16:BR22" si="4">IF($B16=BP$1,1)+IF($D16=BP$1,2)+IF($F16=BP$1,3)+IF($H16=BP$1,4)+IF($J16=BP$1,5)+IF($L16=BP$1,6)+IF($N16=BP$1,7)+IF($P16=BP$1,8)+IF($R16=BP$1,9)+IF($T16=BP$1,10)+IF($V16=BP$1,11)+IF($X16=BP$1,12)+IF($Z16=BP$1,13)+IF($AB16=BP$1,14)+IF($AD16=BP$1,15)+IF($AF16=BP$1,16)+IF($AH16=BP$1,17)+IF($AJ16=BP$1,18)+IF($AL16=BP$1,19)+IF($AN16=BP$1,20)</f>
        <v>0</v>
      </c>
      <c r="BQ16" s="198">
        <f t="shared" si="4"/>
        <v>0</v>
      </c>
      <c r="BR16" s="198">
        <f t="shared" si="2"/>
        <v>0</v>
      </c>
      <c r="BS16" s="196" t="s">
        <v>73</v>
      </c>
    </row>
    <row r="17" spans="1:71" ht="15" customHeight="1" x14ac:dyDescent="0.2">
      <c r="A17" s="77" t="s">
        <v>310</v>
      </c>
      <c r="B17" s="23" t="s">
        <v>73</v>
      </c>
      <c r="C17" s="24" t="s">
        <v>73</v>
      </c>
      <c r="D17" s="25" t="s">
        <v>73</v>
      </c>
      <c r="E17" s="26" t="s">
        <v>73</v>
      </c>
      <c r="F17" s="23" t="s">
        <v>73</v>
      </c>
      <c r="G17" s="24" t="s">
        <v>73</v>
      </c>
      <c r="H17" s="25" t="s">
        <v>73</v>
      </c>
      <c r="I17" s="26" t="s">
        <v>73</v>
      </c>
      <c r="J17" s="23" t="s">
        <v>73</v>
      </c>
      <c r="K17" s="24" t="s">
        <v>73</v>
      </c>
      <c r="L17" s="25" t="s">
        <v>73</v>
      </c>
      <c r="M17" s="26" t="s">
        <v>73</v>
      </c>
      <c r="N17" s="23" t="s">
        <v>73</v>
      </c>
      <c r="O17" s="24" t="s">
        <v>73</v>
      </c>
      <c r="P17" s="25" t="s">
        <v>73</v>
      </c>
      <c r="Q17" s="26" t="s">
        <v>73</v>
      </c>
      <c r="R17" s="23" t="s">
        <v>73</v>
      </c>
      <c r="S17" s="24" t="s">
        <v>73</v>
      </c>
      <c r="T17" s="25" t="s">
        <v>73</v>
      </c>
      <c r="U17" s="26" t="s">
        <v>73</v>
      </c>
      <c r="V17" s="23" t="s">
        <v>73</v>
      </c>
      <c r="W17" s="24" t="s">
        <v>73</v>
      </c>
      <c r="X17" s="25" t="s">
        <v>73</v>
      </c>
      <c r="Y17" s="26" t="s">
        <v>73</v>
      </c>
      <c r="Z17" s="23" t="s">
        <v>73</v>
      </c>
      <c r="AA17" s="24" t="s">
        <v>73</v>
      </c>
      <c r="AB17" s="25" t="s">
        <v>73</v>
      </c>
      <c r="AC17" s="26" t="s">
        <v>73</v>
      </c>
      <c r="AD17" s="23" t="s">
        <v>73</v>
      </c>
      <c r="AE17" s="24" t="s">
        <v>73</v>
      </c>
      <c r="AF17" s="25" t="s">
        <v>73</v>
      </c>
      <c r="AG17" s="26" t="s">
        <v>73</v>
      </c>
      <c r="AH17" s="23" t="s">
        <v>73</v>
      </c>
      <c r="AI17" s="24" t="s">
        <v>73</v>
      </c>
      <c r="AJ17" s="25" t="s">
        <v>73</v>
      </c>
      <c r="AK17" s="26" t="s">
        <v>73</v>
      </c>
      <c r="AL17" s="23" t="s">
        <v>73</v>
      </c>
      <c r="AM17" s="24" t="s">
        <v>73</v>
      </c>
      <c r="AN17" s="25" t="s">
        <v>73</v>
      </c>
      <c r="AO17" s="26" t="s">
        <v>73</v>
      </c>
      <c r="AP17" s="23" t="s">
        <v>73</v>
      </c>
      <c r="AQ17" s="24" t="s">
        <v>73</v>
      </c>
      <c r="AR17" s="25" t="s">
        <v>73</v>
      </c>
      <c r="AS17" s="26" t="s">
        <v>73</v>
      </c>
      <c r="AV17" s="193" t="s">
        <v>91</v>
      </c>
      <c r="AW17" s="23">
        <f t="shared" si="3"/>
        <v>0</v>
      </c>
      <c r="AX17" s="198">
        <f t="shared" si="3"/>
        <v>0</v>
      </c>
      <c r="AY17" s="198">
        <f t="shared" si="4"/>
        <v>0</v>
      </c>
      <c r="AZ17" s="198">
        <f t="shared" si="4"/>
        <v>0</v>
      </c>
      <c r="BA17" s="198">
        <f t="shared" si="4"/>
        <v>0</v>
      </c>
      <c r="BB17" s="198">
        <f t="shared" si="4"/>
        <v>0</v>
      </c>
      <c r="BC17" s="198">
        <f t="shared" si="4"/>
        <v>0</v>
      </c>
      <c r="BD17" s="198">
        <f t="shared" si="4"/>
        <v>0</v>
      </c>
      <c r="BE17" s="198">
        <f t="shared" si="4"/>
        <v>0</v>
      </c>
      <c r="BF17" s="198">
        <f t="shared" si="4"/>
        <v>0</v>
      </c>
      <c r="BG17" s="198">
        <f t="shared" si="4"/>
        <v>0</v>
      </c>
      <c r="BH17" s="198">
        <f t="shared" si="4"/>
        <v>0</v>
      </c>
      <c r="BI17" s="198">
        <f t="shared" si="4"/>
        <v>0</v>
      </c>
      <c r="BJ17" s="198">
        <f t="shared" si="4"/>
        <v>0</v>
      </c>
      <c r="BK17" s="198">
        <f t="shared" si="4"/>
        <v>0</v>
      </c>
      <c r="BL17" s="198">
        <f t="shared" si="4"/>
        <v>0</v>
      </c>
      <c r="BM17" s="198">
        <f t="shared" si="4"/>
        <v>0</v>
      </c>
      <c r="BN17" s="198">
        <f t="shared" si="4"/>
        <v>0</v>
      </c>
      <c r="BO17" s="198">
        <f t="shared" si="4"/>
        <v>0</v>
      </c>
      <c r="BP17" s="198">
        <f t="shared" si="4"/>
        <v>0</v>
      </c>
      <c r="BQ17" s="198">
        <f t="shared" si="4"/>
        <v>0</v>
      </c>
      <c r="BR17" s="198">
        <f t="shared" si="4"/>
        <v>0</v>
      </c>
      <c r="BS17" s="196" t="s">
        <v>73</v>
      </c>
    </row>
    <row r="18" spans="1:71" ht="15" customHeight="1" x14ac:dyDescent="0.2">
      <c r="A18" s="189" t="s">
        <v>311</v>
      </c>
      <c r="B18" s="23" t="s">
        <v>73</v>
      </c>
      <c r="C18" s="24" t="s">
        <v>73</v>
      </c>
      <c r="D18" s="25" t="s">
        <v>73</v>
      </c>
      <c r="E18" s="26" t="s">
        <v>73</v>
      </c>
      <c r="F18" s="23" t="s">
        <v>73</v>
      </c>
      <c r="G18" s="24" t="s">
        <v>73</v>
      </c>
      <c r="H18" s="25" t="s">
        <v>73</v>
      </c>
      <c r="I18" s="26" t="s">
        <v>73</v>
      </c>
      <c r="J18" s="23" t="s">
        <v>73</v>
      </c>
      <c r="K18" s="24" t="s">
        <v>73</v>
      </c>
      <c r="L18" s="25" t="s">
        <v>73</v>
      </c>
      <c r="M18" s="26" t="s">
        <v>73</v>
      </c>
      <c r="N18" s="23" t="s">
        <v>73</v>
      </c>
      <c r="O18" s="24" t="s">
        <v>73</v>
      </c>
      <c r="P18" s="25" t="s">
        <v>73</v>
      </c>
      <c r="Q18" s="26" t="s">
        <v>73</v>
      </c>
      <c r="R18" s="23" t="s">
        <v>73</v>
      </c>
      <c r="S18" s="24" t="s">
        <v>73</v>
      </c>
      <c r="T18" s="25" t="s">
        <v>73</v>
      </c>
      <c r="U18" s="26" t="s">
        <v>73</v>
      </c>
      <c r="V18" s="23" t="s">
        <v>73</v>
      </c>
      <c r="W18" s="24" t="s">
        <v>73</v>
      </c>
      <c r="X18" s="25" t="s">
        <v>73</v>
      </c>
      <c r="Y18" s="26" t="s">
        <v>73</v>
      </c>
      <c r="Z18" s="23" t="s">
        <v>73</v>
      </c>
      <c r="AA18" s="24" t="s">
        <v>73</v>
      </c>
      <c r="AB18" s="25" t="s">
        <v>73</v>
      </c>
      <c r="AC18" s="26" t="s">
        <v>73</v>
      </c>
      <c r="AD18" s="23" t="s">
        <v>73</v>
      </c>
      <c r="AE18" s="24" t="s">
        <v>73</v>
      </c>
      <c r="AF18" s="25" t="s">
        <v>73</v>
      </c>
      <c r="AG18" s="26" t="s">
        <v>73</v>
      </c>
      <c r="AH18" s="23" t="s">
        <v>73</v>
      </c>
      <c r="AI18" s="24" t="s">
        <v>73</v>
      </c>
      <c r="AJ18" s="25" t="s">
        <v>73</v>
      </c>
      <c r="AK18" s="26" t="s">
        <v>73</v>
      </c>
      <c r="AL18" s="23" t="s">
        <v>73</v>
      </c>
      <c r="AM18" s="24" t="s">
        <v>73</v>
      </c>
      <c r="AN18" s="25" t="s">
        <v>73</v>
      </c>
      <c r="AO18" s="26" t="s">
        <v>73</v>
      </c>
      <c r="AP18" s="23" t="s">
        <v>73</v>
      </c>
      <c r="AQ18" s="24" t="s">
        <v>73</v>
      </c>
      <c r="AR18" s="25" t="s">
        <v>73</v>
      </c>
      <c r="AS18" s="26" t="s">
        <v>73</v>
      </c>
      <c r="AV18" s="194" t="s">
        <v>93</v>
      </c>
      <c r="AW18" s="23">
        <f t="shared" si="3"/>
        <v>0</v>
      </c>
      <c r="AX18" s="198">
        <f t="shared" si="3"/>
        <v>0</v>
      </c>
      <c r="AY18" s="198">
        <f t="shared" si="4"/>
        <v>0</v>
      </c>
      <c r="AZ18" s="198">
        <f t="shared" si="4"/>
        <v>0</v>
      </c>
      <c r="BA18" s="198">
        <f t="shared" si="4"/>
        <v>0</v>
      </c>
      <c r="BB18" s="198">
        <f t="shared" si="4"/>
        <v>0</v>
      </c>
      <c r="BC18" s="198">
        <f t="shared" si="4"/>
        <v>0</v>
      </c>
      <c r="BD18" s="198">
        <f t="shared" si="4"/>
        <v>0</v>
      </c>
      <c r="BE18" s="198">
        <f t="shared" si="4"/>
        <v>0</v>
      </c>
      <c r="BF18" s="198">
        <f t="shared" si="4"/>
        <v>0</v>
      </c>
      <c r="BG18" s="198">
        <f t="shared" si="4"/>
        <v>0</v>
      </c>
      <c r="BH18" s="198">
        <f t="shared" si="4"/>
        <v>0</v>
      </c>
      <c r="BI18" s="198">
        <f t="shared" si="4"/>
        <v>0</v>
      </c>
      <c r="BJ18" s="198">
        <f t="shared" si="4"/>
        <v>0</v>
      </c>
      <c r="BK18" s="198">
        <f t="shared" si="4"/>
        <v>0</v>
      </c>
      <c r="BL18" s="198">
        <f t="shared" si="4"/>
        <v>0</v>
      </c>
      <c r="BM18" s="198">
        <f t="shared" si="4"/>
        <v>0</v>
      </c>
      <c r="BN18" s="198">
        <f t="shared" si="4"/>
        <v>0</v>
      </c>
      <c r="BO18" s="198">
        <f t="shared" si="4"/>
        <v>0</v>
      </c>
      <c r="BP18" s="198">
        <f t="shared" si="4"/>
        <v>0</v>
      </c>
      <c r="BQ18" s="198">
        <f t="shared" si="4"/>
        <v>0</v>
      </c>
      <c r="BR18" s="198">
        <f t="shared" si="4"/>
        <v>0</v>
      </c>
      <c r="BS18" s="196" t="s">
        <v>73</v>
      </c>
    </row>
    <row r="19" spans="1:71" ht="15" customHeight="1" x14ac:dyDescent="0.2">
      <c r="A19" s="189" t="s">
        <v>316</v>
      </c>
      <c r="B19" s="23" t="s">
        <v>73</v>
      </c>
      <c r="C19" s="24" t="s">
        <v>73</v>
      </c>
      <c r="D19" s="25" t="s">
        <v>73</v>
      </c>
      <c r="E19" s="26" t="s">
        <v>73</v>
      </c>
      <c r="F19" s="23" t="s">
        <v>73</v>
      </c>
      <c r="G19" s="24" t="s">
        <v>73</v>
      </c>
      <c r="H19" s="25" t="s">
        <v>73</v>
      </c>
      <c r="I19" s="26" t="s">
        <v>73</v>
      </c>
      <c r="J19" s="23" t="s">
        <v>73</v>
      </c>
      <c r="K19" s="24" t="s">
        <v>73</v>
      </c>
      <c r="L19" s="25" t="s">
        <v>73</v>
      </c>
      <c r="M19" s="26" t="s">
        <v>73</v>
      </c>
      <c r="N19" s="23" t="s">
        <v>73</v>
      </c>
      <c r="O19" s="24" t="s">
        <v>73</v>
      </c>
      <c r="P19" s="25" t="s">
        <v>73</v>
      </c>
      <c r="Q19" s="26" t="s">
        <v>73</v>
      </c>
      <c r="R19" s="23" t="s">
        <v>73</v>
      </c>
      <c r="S19" s="24" t="s">
        <v>73</v>
      </c>
      <c r="T19" s="25" t="s">
        <v>73</v>
      </c>
      <c r="U19" s="26" t="s">
        <v>73</v>
      </c>
      <c r="V19" s="23" t="s">
        <v>73</v>
      </c>
      <c r="W19" s="24" t="s">
        <v>73</v>
      </c>
      <c r="X19" s="25" t="s">
        <v>73</v>
      </c>
      <c r="Y19" s="26" t="s">
        <v>73</v>
      </c>
      <c r="Z19" s="23" t="s">
        <v>73</v>
      </c>
      <c r="AA19" s="24" t="s">
        <v>73</v>
      </c>
      <c r="AB19" s="25" t="s">
        <v>73</v>
      </c>
      <c r="AC19" s="26" t="s">
        <v>73</v>
      </c>
      <c r="AD19" s="23" t="s">
        <v>73</v>
      </c>
      <c r="AE19" s="24" t="s">
        <v>73</v>
      </c>
      <c r="AF19" s="25" t="s">
        <v>73</v>
      </c>
      <c r="AG19" s="26" t="s">
        <v>73</v>
      </c>
      <c r="AH19" s="23" t="s">
        <v>73</v>
      </c>
      <c r="AI19" s="24" t="s">
        <v>73</v>
      </c>
      <c r="AJ19" s="25" t="s">
        <v>73</v>
      </c>
      <c r="AK19" s="26" t="s">
        <v>73</v>
      </c>
      <c r="AL19" s="23" t="s">
        <v>73</v>
      </c>
      <c r="AM19" s="24" t="s">
        <v>73</v>
      </c>
      <c r="AN19" s="25" t="s">
        <v>73</v>
      </c>
      <c r="AO19" s="26" t="s">
        <v>73</v>
      </c>
      <c r="AP19" s="23" t="s">
        <v>73</v>
      </c>
      <c r="AQ19" s="24" t="s">
        <v>73</v>
      </c>
      <c r="AR19" s="25" t="s">
        <v>73</v>
      </c>
      <c r="AS19" s="26" t="s">
        <v>73</v>
      </c>
      <c r="AV19" s="194" t="s">
        <v>314</v>
      </c>
      <c r="AW19" s="23">
        <f t="shared" si="3"/>
        <v>0</v>
      </c>
      <c r="AX19" s="198">
        <f t="shared" si="3"/>
        <v>0</v>
      </c>
      <c r="AY19" s="198">
        <f t="shared" si="4"/>
        <v>0</v>
      </c>
      <c r="AZ19" s="198">
        <f t="shared" si="4"/>
        <v>0</v>
      </c>
      <c r="BA19" s="198">
        <f t="shared" si="4"/>
        <v>0</v>
      </c>
      <c r="BB19" s="198">
        <f t="shared" si="4"/>
        <v>0</v>
      </c>
      <c r="BC19" s="198">
        <f t="shared" si="4"/>
        <v>0</v>
      </c>
      <c r="BD19" s="198">
        <f t="shared" si="4"/>
        <v>0</v>
      </c>
      <c r="BE19" s="198">
        <f t="shared" si="4"/>
        <v>0</v>
      </c>
      <c r="BF19" s="198">
        <f t="shared" si="4"/>
        <v>0</v>
      </c>
      <c r="BG19" s="198">
        <f t="shared" si="4"/>
        <v>0</v>
      </c>
      <c r="BH19" s="198">
        <f t="shared" si="4"/>
        <v>0</v>
      </c>
      <c r="BI19" s="198">
        <f t="shared" si="4"/>
        <v>0</v>
      </c>
      <c r="BJ19" s="198">
        <f t="shared" si="4"/>
        <v>0</v>
      </c>
      <c r="BK19" s="198">
        <f t="shared" si="4"/>
        <v>0</v>
      </c>
      <c r="BL19" s="198">
        <f t="shared" si="4"/>
        <v>0</v>
      </c>
      <c r="BM19" s="198">
        <f t="shared" si="4"/>
        <v>0</v>
      </c>
      <c r="BN19" s="198">
        <f t="shared" si="4"/>
        <v>0</v>
      </c>
      <c r="BO19" s="198">
        <f t="shared" si="4"/>
        <v>0</v>
      </c>
      <c r="BP19" s="198">
        <f t="shared" si="4"/>
        <v>0</v>
      </c>
      <c r="BQ19" s="198">
        <f t="shared" si="4"/>
        <v>0</v>
      </c>
      <c r="BR19" s="198">
        <f t="shared" si="4"/>
        <v>0</v>
      </c>
      <c r="BS19" s="196" t="s">
        <v>73</v>
      </c>
    </row>
    <row r="20" spans="1:71" ht="15" customHeight="1" x14ac:dyDescent="0.2">
      <c r="A20" s="189" t="s">
        <v>317</v>
      </c>
      <c r="B20" s="23" t="s">
        <v>73</v>
      </c>
      <c r="C20" s="131" t="s">
        <v>73</v>
      </c>
      <c r="D20" s="25" t="s">
        <v>73</v>
      </c>
      <c r="E20" s="132" t="s">
        <v>73</v>
      </c>
      <c r="F20" s="23" t="s">
        <v>73</v>
      </c>
      <c r="G20" s="131" t="s">
        <v>73</v>
      </c>
      <c r="H20" s="25" t="s">
        <v>73</v>
      </c>
      <c r="I20" s="132" t="s">
        <v>73</v>
      </c>
      <c r="J20" s="23" t="s">
        <v>73</v>
      </c>
      <c r="K20" s="131" t="s">
        <v>73</v>
      </c>
      <c r="L20" s="25" t="s">
        <v>73</v>
      </c>
      <c r="M20" s="132" t="s">
        <v>73</v>
      </c>
      <c r="N20" s="23" t="s">
        <v>73</v>
      </c>
      <c r="O20" s="131" t="s">
        <v>73</v>
      </c>
      <c r="P20" s="25" t="s">
        <v>73</v>
      </c>
      <c r="Q20" s="132" t="s">
        <v>73</v>
      </c>
      <c r="R20" s="23" t="s">
        <v>73</v>
      </c>
      <c r="S20" s="131" t="s">
        <v>73</v>
      </c>
      <c r="T20" s="25" t="s">
        <v>73</v>
      </c>
      <c r="U20" s="132" t="s">
        <v>73</v>
      </c>
      <c r="V20" s="23" t="s">
        <v>73</v>
      </c>
      <c r="W20" s="131" t="s">
        <v>73</v>
      </c>
      <c r="X20" s="25" t="s">
        <v>73</v>
      </c>
      <c r="Y20" s="132" t="s">
        <v>73</v>
      </c>
      <c r="Z20" s="23" t="s">
        <v>73</v>
      </c>
      <c r="AA20" s="131" t="s">
        <v>73</v>
      </c>
      <c r="AB20" s="25" t="s">
        <v>73</v>
      </c>
      <c r="AC20" s="132" t="s">
        <v>73</v>
      </c>
      <c r="AD20" s="23" t="s">
        <v>73</v>
      </c>
      <c r="AE20" s="131" t="s">
        <v>73</v>
      </c>
      <c r="AF20" s="25" t="s">
        <v>73</v>
      </c>
      <c r="AG20" s="132" t="s">
        <v>73</v>
      </c>
      <c r="AH20" s="23" t="s">
        <v>73</v>
      </c>
      <c r="AI20" s="131" t="s">
        <v>73</v>
      </c>
      <c r="AJ20" s="25" t="s">
        <v>73</v>
      </c>
      <c r="AK20" s="132" t="s">
        <v>73</v>
      </c>
      <c r="AL20" s="23" t="s">
        <v>73</v>
      </c>
      <c r="AM20" s="131" t="s">
        <v>73</v>
      </c>
      <c r="AN20" s="25" t="s">
        <v>73</v>
      </c>
      <c r="AO20" s="132" t="s">
        <v>73</v>
      </c>
      <c r="AP20" s="23" t="s">
        <v>73</v>
      </c>
      <c r="AQ20" s="131" t="s">
        <v>73</v>
      </c>
      <c r="AR20" s="25" t="s">
        <v>73</v>
      </c>
      <c r="AS20" s="132" t="s">
        <v>73</v>
      </c>
      <c r="AV20" s="194" t="s">
        <v>315</v>
      </c>
      <c r="AW20" s="23">
        <f t="shared" si="3"/>
        <v>0</v>
      </c>
      <c r="AX20" s="198">
        <f t="shared" si="3"/>
        <v>0</v>
      </c>
      <c r="AY20" s="198">
        <f t="shared" si="4"/>
        <v>0</v>
      </c>
      <c r="AZ20" s="198">
        <f t="shared" si="4"/>
        <v>0</v>
      </c>
      <c r="BA20" s="198">
        <f t="shared" si="4"/>
        <v>0</v>
      </c>
      <c r="BB20" s="198">
        <f t="shared" si="4"/>
        <v>0</v>
      </c>
      <c r="BC20" s="198">
        <f t="shared" si="4"/>
        <v>0</v>
      </c>
      <c r="BD20" s="198">
        <f t="shared" si="4"/>
        <v>0</v>
      </c>
      <c r="BE20" s="198">
        <f t="shared" si="4"/>
        <v>0</v>
      </c>
      <c r="BF20" s="198">
        <f t="shared" si="4"/>
        <v>0</v>
      </c>
      <c r="BG20" s="198">
        <f t="shared" si="4"/>
        <v>0</v>
      </c>
      <c r="BH20" s="198">
        <f t="shared" si="4"/>
        <v>0</v>
      </c>
      <c r="BI20" s="198">
        <f t="shared" si="4"/>
        <v>0</v>
      </c>
      <c r="BJ20" s="198">
        <f t="shared" si="4"/>
        <v>0</v>
      </c>
      <c r="BK20" s="198">
        <f t="shared" si="4"/>
        <v>0</v>
      </c>
      <c r="BL20" s="198">
        <f t="shared" si="4"/>
        <v>0</v>
      </c>
      <c r="BM20" s="198">
        <f t="shared" si="4"/>
        <v>0</v>
      </c>
      <c r="BN20" s="198">
        <f t="shared" si="4"/>
        <v>0</v>
      </c>
      <c r="BO20" s="198">
        <f t="shared" si="4"/>
        <v>0</v>
      </c>
      <c r="BP20" s="198">
        <f t="shared" si="4"/>
        <v>0</v>
      </c>
      <c r="BQ20" s="198">
        <f t="shared" si="4"/>
        <v>0</v>
      </c>
      <c r="BR20" s="198">
        <f t="shared" si="4"/>
        <v>0</v>
      </c>
      <c r="BS20" s="196" t="s">
        <v>73</v>
      </c>
    </row>
    <row r="21" spans="1:71" ht="15" customHeight="1" x14ac:dyDescent="0.2">
      <c r="A21" s="189" t="s">
        <v>422</v>
      </c>
      <c r="B21" s="23" t="s">
        <v>73</v>
      </c>
      <c r="C21" s="131" t="s">
        <v>73</v>
      </c>
      <c r="D21" s="25" t="s">
        <v>73</v>
      </c>
      <c r="E21" s="132" t="s">
        <v>73</v>
      </c>
      <c r="F21" s="23" t="s">
        <v>73</v>
      </c>
      <c r="G21" s="131" t="s">
        <v>73</v>
      </c>
      <c r="H21" s="25" t="s">
        <v>73</v>
      </c>
      <c r="I21" s="132" t="s">
        <v>73</v>
      </c>
      <c r="J21" s="23" t="s">
        <v>73</v>
      </c>
      <c r="K21" s="131" t="s">
        <v>73</v>
      </c>
      <c r="L21" s="25" t="s">
        <v>73</v>
      </c>
      <c r="M21" s="132" t="s">
        <v>73</v>
      </c>
      <c r="N21" s="23" t="s">
        <v>73</v>
      </c>
      <c r="O21" s="131" t="s">
        <v>73</v>
      </c>
      <c r="P21" s="25" t="s">
        <v>73</v>
      </c>
      <c r="Q21" s="132" t="s">
        <v>73</v>
      </c>
      <c r="R21" s="23" t="s">
        <v>73</v>
      </c>
      <c r="S21" s="131" t="s">
        <v>73</v>
      </c>
      <c r="T21" s="25" t="s">
        <v>73</v>
      </c>
      <c r="U21" s="132" t="s">
        <v>73</v>
      </c>
      <c r="V21" s="23" t="s">
        <v>73</v>
      </c>
      <c r="W21" s="131" t="s">
        <v>73</v>
      </c>
      <c r="X21" s="25" t="s">
        <v>73</v>
      </c>
      <c r="Y21" s="132" t="s">
        <v>73</v>
      </c>
      <c r="Z21" s="23" t="s">
        <v>73</v>
      </c>
      <c r="AA21" s="131" t="s">
        <v>73</v>
      </c>
      <c r="AB21" s="25" t="s">
        <v>73</v>
      </c>
      <c r="AC21" s="132" t="s">
        <v>73</v>
      </c>
      <c r="AD21" s="23" t="s">
        <v>73</v>
      </c>
      <c r="AE21" s="131" t="s">
        <v>73</v>
      </c>
      <c r="AF21" s="25" t="s">
        <v>73</v>
      </c>
      <c r="AG21" s="132" t="s">
        <v>73</v>
      </c>
      <c r="AH21" s="23" t="s">
        <v>73</v>
      </c>
      <c r="AI21" s="131" t="s">
        <v>73</v>
      </c>
      <c r="AJ21" s="25" t="s">
        <v>73</v>
      </c>
      <c r="AK21" s="132" t="s">
        <v>73</v>
      </c>
      <c r="AL21" s="23" t="s">
        <v>73</v>
      </c>
      <c r="AM21" s="131" t="s">
        <v>73</v>
      </c>
      <c r="AN21" s="25" t="s">
        <v>73</v>
      </c>
      <c r="AO21" s="132" t="s">
        <v>73</v>
      </c>
      <c r="AP21" s="23" t="s">
        <v>73</v>
      </c>
      <c r="AQ21" s="131" t="s">
        <v>73</v>
      </c>
      <c r="AR21" s="25" t="s">
        <v>73</v>
      </c>
      <c r="AS21" s="132" t="s">
        <v>73</v>
      </c>
      <c r="AV21" s="194" t="s">
        <v>315</v>
      </c>
      <c r="AW21" s="23">
        <f t="shared" si="3"/>
        <v>0</v>
      </c>
      <c r="AX21" s="198">
        <f t="shared" si="3"/>
        <v>0</v>
      </c>
      <c r="AY21" s="198">
        <f t="shared" si="4"/>
        <v>0</v>
      </c>
      <c r="AZ21" s="198">
        <f t="shared" si="4"/>
        <v>0</v>
      </c>
      <c r="BA21" s="198">
        <f t="shared" si="4"/>
        <v>0</v>
      </c>
      <c r="BB21" s="198">
        <f t="shared" si="4"/>
        <v>0</v>
      </c>
      <c r="BC21" s="198">
        <f t="shared" si="4"/>
        <v>0</v>
      </c>
      <c r="BD21" s="198">
        <f t="shared" si="4"/>
        <v>0</v>
      </c>
      <c r="BE21" s="198">
        <f t="shared" si="4"/>
        <v>0</v>
      </c>
      <c r="BF21" s="198">
        <f t="shared" si="4"/>
        <v>0</v>
      </c>
      <c r="BG21" s="198">
        <f t="shared" si="4"/>
        <v>0</v>
      </c>
      <c r="BH21" s="198">
        <f t="shared" si="4"/>
        <v>0</v>
      </c>
      <c r="BI21" s="198">
        <f t="shared" si="4"/>
        <v>0</v>
      </c>
      <c r="BJ21" s="198">
        <f t="shared" si="4"/>
        <v>0</v>
      </c>
      <c r="BK21" s="198">
        <f t="shared" si="4"/>
        <v>0</v>
      </c>
      <c r="BL21" s="198">
        <f t="shared" si="4"/>
        <v>0</v>
      </c>
      <c r="BM21" s="198">
        <f t="shared" si="4"/>
        <v>0</v>
      </c>
      <c r="BN21" s="198">
        <f t="shared" si="4"/>
        <v>0</v>
      </c>
      <c r="BO21" s="198">
        <f t="shared" si="4"/>
        <v>0</v>
      </c>
      <c r="BP21" s="198">
        <f t="shared" si="4"/>
        <v>0</v>
      </c>
      <c r="BQ21" s="198">
        <f t="shared" si="4"/>
        <v>0</v>
      </c>
      <c r="BR21" s="198">
        <f t="shared" si="4"/>
        <v>0</v>
      </c>
      <c r="BS21" s="196" t="s">
        <v>73</v>
      </c>
    </row>
    <row r="22" spans="1:71" ht="15" customHeight="1" thickBot="1" x14ac:dyDescent="0.25">
      <c r="A22" s="190" t="s">
        <v>512</v>
      </c>
      <c r="B22" s="27" t="s">
        <v>73</v>
      </c>
      <c r="C22" s="28" t="s">
        <v>73</v>
      </c>
      <c r="D22" s="29" t="s">
        <v>73</v>
      </c>
      <c r="E22" s="30" t="s">
        <v>73</v>
      </c>
      <c r="F22" s="27" t="s">
        <v>73</v>
      </c>
      <c r="G22" s="28" t="s">
        <v>73</v>
      </c>
      <c r="H22" s="29" t="s">
        <v>73</v>
      </c>
      <c r="I22" s="30" t="s">
        <v>73</v>
      </c>
      <c r="J22" s="27" t="s">
        <v>73</v>
      </c>
      <c r="K22" s="28" t="s">
        <v>73</v>
      </c>
      <c r="L22" s="29" t="s">
        <v>73</v>
      </c>
      <c r="M22" s="30" t="s">
        <v>73</v>
      </c>
      <c r="N22" s="27" t="s">
        <v>73</v>
      </c>
      <c r="O22" s="28" t="s">
        <v>73</v>
      </c>
      <c r="P22" s="29" t="s">
        <v>73</v>
      </c>
      <c r="Q22" s="30" t="s">
        <v>73</v>
      </c>
      <c r="R22" s="27" t="s">
        <v>73</v>
      </c>
      <c r="S22" s="28" t="s">
        <v>73</v>
      </c>
      <c r="T22" s="29" t="s">
        <v>73</v>
      </c>
      <c r="U22" s="30" t="s">
        <v>73</v>
      </c>
      <c r="V22" s="27" t="s">
        <v>73</v>
      </c>
      <c r="W22" s="28" t="s">
        <v>73</v>
      </c>
      <c r="X22" s="29" t="s">
        <v>73</v>
      </c>
      <c r="Y22" s="30" t="s">
        <v>73</v>
      </c>
      <c r="Z22" s="27" t="s">
        <v>73</v>
      </c>
      <c r="AA22" s="28" t="s">
        <v>73</v>
      </c>
      <c r="AB22" s="29" t="s">
        <v>73</v>
      </c>
      <c r="AC22" s="30" t="s">
        <v>73</v>
      </c>
      <c r="AD22" s="27" t="s">
        <v>73</v>
      </c>
      <c r="AE22" s="28" t="s">
        <v>73</v>
      </c>
      <c r="AF22" s="29" t="s">
        <v>73</v>
      </c>
      <c r="AG22" s="30" t="s">
        <v>73</v>
      </c>
      <c r="AH22" s="27" t="s">
        <v>73</v>
      </c>
      <c r="AI22" s="28" t="s">
        <v>73</v>
      </c>
      <c r="AJ22" s="29" t="s">
        <v>73</v>
      </c>
      <c r="AK22" s="30" t="s">
        <v>73</v>
      </c>
      <c r="AL22" s="27" t="s">
        <v>73</v>
      </c>
      <c r="AM22" s="28" t="s">
        <v>73</v>
      </c>
      <c r="AN22" s="29" t="s">
        <v>73</v>
      </c>
      <c r="AO22" s="30" t="s">
        <v>73</v>
      </c>
      <c r="AP22" s="27" t="s">
        <v>73</v>
      </c>
      <c r="AQ22" s="28" t="s">
        <v>73</v>
      </c>
      <c r="AR22" s="29" t="s">
        <v>73</v>
      </c>
      <c r="AS22" s="30" t="s">
        <v>73</v>
      </c>
      <c r="AV22" s="195" t="s">
        <v>391</v>
      </c>
      <c r="AW22" s="27">
        <f t="shared" si="3"/>
        <v>0</v>
      </c>
      <c r="AX22" s="199">
        <f t="shared" si="3"/>
        <v>0</v>
      </c>
      <c r="AY22" s="199">
        <f t="shared" si="4"/>
        <v>0</v>
      </c>
      <c r="AZ22" s="199">
        <f t="shared" si="4"/>
        <v>0</v>
      </c>
      <c r="BA22" s="199">
        <f t="shared" si="4"/>
        <v>0</v>
      </c>
      <c r="BB22" s="199">
        <f t="shared" si="4"/>
        <v>0</v>
      </c>
      <c r="BC22" s="199">
        <f t="shared" si="4"/>
        <v>0</v>
      </c>
      <c r="BD22" s="199">
        <f t="shared" si="4"/>
        <v>0</v>
      </c>
      <c r="BE22" s="199">
        <f t="shared" si="4"/>
        <v>0</v>
      </c>
      <c r="BF22" s="199">
        <f t="shared" si="4"/>
        <v>0</v>
      </c>
      <c r="BG22" s="199">
        <f t="shared" si="4"/>
        <v>0</v>
      </c>
      <c r="BH22" s="199">
        <f t="shared" si="4"/>
        <v>0</v>
      </c>
      <c r="BI22" s="199">
        <f t="shared" si="4"/>
        <v>0</v>
      </c>
      <c r="BJ22" s="199">
        <f t="shared" si="4"/>
        <v>0</v>
      </c>
      <c r="BK22" s="199">
        <f t="shared" si="4"/>
        <v>0</v>
      </c>
      <c r="BL22" s="199">
        <f t="shared" si="4"/>
        <v>0</v>
      </c>
      <c r="BM22" s="199">
        <f t="shared" si="4"/>
        <v>0</v>
      </c>
      <c r="BN22" s="199">
        <f t="shared" si="4"/>
        <v>0</v>
      </c>
      <c r="BO22" s="199">
        <f t="shared" si="4"/>
        <v>0</v>
      </c>
      <c r="BP22" s="199">
        <f t="shared" si="4"/>
        <v>0</v>
      </c>
      <c r="BQ22" s="199">
        <f t="shared" si="4"/>
        <v>0</v>
      </c>
      <c r="BR22" s="199">
        <f t="shared" si="4"/>
        <v>0</v>
      </c>
      <c r="BS22" s="197" t="s">
        <v>73</v>
      </c>
    </row>
    <row r="23" spans="1:71" ht="12.75" customHeight="1" x14ac:dyDescent="0.2">
      <c r="A23" s="324"/>
    </row>
    <row r="24" spans="1:71" ht="12.75" customHeight="1" x14ac:dyDescent="0.2"/>
    <row r="25" spans="1:71" ht="12.75" customHeight="1" x14ac:dyDescent="0.2"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3"/>
    </row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73" spans="50:71" x14ac:dyDescent="0.2"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</row>
  </sheetData>
  <sheetProtection insertColumns="0" insertRows="0" deleteColumns="0" deleteRows="0" selectLockedCells="1" selectUnlockedCells="1"/>
  <phoneticPr fontId="0" type="noConversion"/>
  <dataValidations count="2">
    <dataValidation allowBlank="1" showInputMessage="1" showErrorMessage="1" errorTitle="onjuiste naam invoer" error="Klik op het pijltje naast de cel om een geldige naam te selecteren." sqref="BS8:BS9 BS4:BS5 BS12:BS13 AV12:AV13 AV4:AV5 AV8:AV9 AV16:AV22 BS16:BS22 AV58:BS59 AV62:BS63 AV66:BS67 AV46:BS47 AV50:BS51 AV70:BS71 AV54:BS55" xr:uid="{00000000-0002-0000-1000-000000000000}"/>
    <dataValidation type="list" allowBlank="1" showInputMessage="1" showErrorMessage="1" sqref="AP2:AP22 AR2:AR22 AL2:AL22 AN2:AN22 AD2:AD22 Z2:Z22 AB2:AB22 AF2:AF22 J2:J22 L2:L22 F2:F22 V2:V22 X2:X22 R2:R22 B2:B22 D2:D22 N2:N22 P2:P22 H2:H22 AH2:AH22 AJ2:AJ22 T2:T22" xr:uid="{00000000-0002-0000-1000-000001000000}">
      <formula1>$AW$1:$BS$1</formula1>
    </dataValidation>
  </dataValidations>
  <pageMargins left="1" right="0.4" top="0.83" bottom="0.98425196850393704" header="0.51181102362204722" footer="0.51181102362204722"/>
  <pageSetup paperSize="9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Blad2">
    <tabColor theme="4" tint="0.79998168889431442"/>
  </sheetPr>
  <dimension ref="A1:F42"/>
  <sheetViews>
    <sheetView zoomScale="70" zoomScaleNormal="70" workbookViewId="0"/>
  </sheetViews>
  <sheetFormatPr defaultColWidth="9.28515625" defaultRowHeight="12.75" x14ac:dyDescent="0.2"/>
  <cols>
    <col min="1" max="1" width="15.85546875" style="258" customWidth="1"/>
    <col min="2" max="2" width="29.7109375" style="258" customWidth="1"/>
    <col min="3" max="3" width="34.140625" style="258" customWidth="1"/>
    <col min="4" max="4" width="9.28515625" style="258"/>
    <col min="5" max="5" width="11.85546875" style="258" customWidth="1"/>
    <col min="6" max="6" width="34.5703125" style="258" customWidth="1"/>
    <col min="7" max="7" width="10.5703125" style="258" customWidth="1"/>
    <col min="8" max="16384" width="9.28515625" style="258"/>
  </cols>
  <sheetData>
    <row r="1" spans="1:6" s="55" customFormat="1" ht="12.75" customHeight="1" x14ac:dyDescent="0.2">
      <c r="A1" s="238" t="s">
        <v>10</v>
      </c>
      <c r="B1" s="238" t="s">
        <v>362</v>
      </c>
      <c r="E1" s="55" t="s">
        <v>568</v>
      </c>
      <c r="F1" s="55" t="s">
        <v>362</v>
      </c>
    </row>
    <row r="2" spans="1:6" s="55" customFormat="1" ht="73.5" customHeight="1" x14ac:dyDescent="0.2">
      <c r="A2" s="237" t="s">
        <v>401</v>
      </c>
      <c r="B2" s="583"/>
      <c r="E2" s="237" t="s">
        <v>401</v>
      </c>
    </row>
    <row r="3" spans="1:6" s="55" customFormat="1" ht="73.5" customHeight="1" x14ac:dyDescent="0.2">
      <c r="A3" s="237" t="s">
        <v>65</v>
      </c>
      <c r="B3" s="584"/>
      <c r="E3" s="237" t="s">
        <v>65</v>
      </c>
    </row>
    <row r="4" spans="1:6" s="55" customFormat="1" ht="73.5" customHeight="1" x14ac:dyDescent="0.2">
      <c r="A4" s="237" t="s">
        <v>64</v>
      </c>
      <c r="B4" s="584"/>
      <c r="E4" s="237" t="s">
        <v>64</v>
      </c>
    </row>
    <row r="5" spans="1:6" s="55" customFormat="1" ht="73.5" customHeight="1" x14ac:dyDescent="0.2">
      <c r="A5" s="237" t="s">
        <v>328</v>
      </c>
      <c r="B5" s="584"/>
      <c r="E5" s="237" t="s">
        <v>328</v>
      </c>
    </row>
    <row r="6" spans="1:6" s="55" customFormat="1" ht="73.5" customHeight="1" x14ac:dyDescent="0.2">
      <c r="A6" s="237" t="s">
        <v>397</v>
      </c>
      <c r="B6" s="584"/>
      <c r="E6" s="237" t="s">
        <v>397</v>
      </c>
    </row>
    <row r="7" spans="1:6" s="55" customFormat="1" ht="73.5" customHeight="1" x14ac:dyDescent="0.2">
      <c r="A7" s="237" t="s">
        <v>544</v>
      </c>
      <c r="B7" s="584"/>
      <c r="E7" s="237" t="s">
        <v>544</v>
      </c>
    </row>
    <row r="8" spans="1:6" s="55" customFormat="1" ht="73.5" customHeight="1" x14ac:dyDescent="0.2">
      <c r="A8" s="237" t="s">
        <v>545</v>
      </c>
      <c r="B8" s="584"/>
      <c r="E8" s="237" t="s">
        <v>545</v>
      </c>
    </row>
    <row r="9" spans="1:6" s="55" customFormat="1" ht="73.5" customHeight="1" x14ac:dyDescent="0.2">
      <c r="A9" s="237" t="s">
        <v>356</v>
      </c>
      <c r="B9" s="584"/>
      <c r="E9" s="237" t="s">
        <v>356</v>
      </c>
    </row>
    <row r="10" spans="1:6" s="55" customFormat="1" ht="73.5" customHeight="1" x14ac:dyDescent="0.2">
      <c r="A10" s="237" t="s">
        <v>77</v>
      </c>
      <c r="B10" s="584"/>
      <c r="E10" s="237" t="s">
        <v>77</v>
      </c>
    </row>
    <row r="11" spans="1:6" s="55" customFormat="1" ht="73.5" customHeight="1" x14ac:dyDescent="0.2">
      <c r="A11" s="237" t="s">
        <v>427</v>
      </c>
      <c r="B11" s="585"/>
      <c r="E11" s="237" t="s">
        <v>427</v>
      </c>
    </row>
    <row r="14" spans="1:6" x14ac:dyDescent="0.2">
      <c r="A14" s="238"/>
      <c r="B14" s="238"/>
      <c r="C14" s="238" t="s">
        <v>3</v>
      </c>
      <c r="D14" s="238" t="s">
        <v>362</v>
      </c>
    </row>
    <row r="15" spans="1:6" ht="20.100000000000001" customHeight="1" x14ac:dyDescent="0.2">
      <c r="A15" s="55"/>
      <c r="B15" s="55"/>
      <c r="C15" s="259" t="s">
        <v>457</v>
      </c>
    </row>
    <row r="16" spans="1:6" ht="20.100000000000001" customHeight="1" x14ac:dyDescent="0.2">
      <c r="A16" s="55"/>
      <c r="B16" s="55"/>
      <c r="C16" s="239" t="s">
        <v>62</v>
      </c>
    </row>
    <row r="17" spans="1:5" ht="20.100000000000001" customHeight="1" x14ac:dyDescent="0.2">
      <c r="A17" s="55"/>
      <c r="B17" s="55"/>
      <c r="C17" s="259" t="s">
        <v>505</v>
      </c>
    </row>
    <row r="18" spans="1:5" ht="20.100000000000001" customHeight="1" x14ac:dyDescent="0.2">
      <c r="A18" s="55"/>
      <c r="B18" s="55"/>
      <c r="C18" s="259" t="s">
        <v>353</v>
      </c>
    </row>
    <row r="19" spans="1:5" ht="20.100000000000001" customHeight="1" x14ac:dyDescent="0.2">
      <c r="A19" s="55"/>
      <c r="B19" s="55"/>
      <c r="C19" s="239" t="s">
        <v>86</v>
      </c>
      <c r="E19" s="55"/>
    </row>
    <row r="20" spans="1:5" ht="20.100000000000001" customHeight="1" x14ac:dyDescent="0.2">
      <c r="A20" s="55"/>
      <c r="B20" s="55"/>
      <c r="C20" s="259" t="s">
        <v>506</v>
      </c>
      <c r="E20" s="55"/>
    </row>
    <row r="21" spans="1:5" ht="20.100000000000001" customHeight="1" x14ac:dyDescent="0.2">
      <c r="A21" s="55"/>
      <c r="B21" s="55"/>
      <c r="C21" s="239" t="s">
        <v>330</v>
      </c>
      <c r="E21" s="55"/>
    </row>
    <row r="22" spans="1:5" ht="20.100000000000001" customHeight="1" x14ac:dyDescent="0.2">
      <c r="A22" s="55"/>
      <c r="B22" s="55"/>
      <c r="C22" s="259" t="s">
        <v>94</v>
      </c>
      <c r="E22" s="55"/>
    </row>
    <row r="23" spans="1:5" ht="20.100000000000001" customHeight="1" x14ac:dyDescent="0.2">
      <c r="A23" s="55"/>
      <c r="B23" s="55"/>
      <c r="C23" s="239" t="s">
        <v>445</v>
      </c>
      <c r="E23" s="55"/>
    </row>
    <row r="24" spans="1:5" ht="20.100000000000001" customHeight="1" x14ac:dyDescent="0.2">
      <c r="A24" s="55"/>
      <c r="B24" s="55"/>
      <c r="C24" s="239" t="s">
        <v>81</v>
      </c>
      <c r="E24" s="55"/>
    </row>
    <row r="25" spans="1:5" ht="20.100000000000001" customHeight="1" x14ac:dyDescent="0.2">
      <c r="A25" s="2"/>
      <c r="B25" s="2"/>
      <c r="C25" s="239" t="s">
        <v>212</v>
      </c>
      <c r="E25" s="55"/>
    </row>
    <row r="26" spans="1:5" ht="20.100000000000001" customHeight="1" x14ac:dyDescent="0.2">
      <c r="A26" s="2"/>
      <c r="B26" s="2"/>
      <c r="C26" s="239" t="s">
        <v>361</v>
      </c>
      <c r="E26" s="55"/>
    </row>
    <row r="27" spans="1:5" ht="20.100000000000001" customHeight="1" x14ac:dyDescent="0.2">
      <c r="A27" s="2"/>
      <c r="B27" s="2"/>
      <c r="C27" s="239" t="s">
        <v>429</v>
      </c>
      <c r="E27" s="55"/>
    </row>
    <row r="28" spans="1:5" ht="20.100000000000001" customHeight="1" x14ac:dyDescent="0.2">
      <c r="A28" s="2"/>
      <c r="B28" s="2"/>
      <c r="C28" s="259" t="s">
        <v>83</v>
      </c>
      <c r="E28" s="55"/>
    </row>
    <row r="29" spans="1:5" ht="20.100000000000001" customHeight="1" x14ac:dyDescent="0.2">
      <c r="A29" s="2"/>
      <c r="B29" s="2"/>
      <c r="C29" s="259" t="s">
        <v>88</v>
      </c>
    </row>
    <row r="30" spans="1:5" ht="19.5" customHeight="1" x14ac:dyDescent="0.2">
      <c r="C30" s="259" t="s">
        <v>92</v>
      </c>
    </row>
    <row r="31" spans="1:5" ht="19.5" customHeight="1" x14ac:dyDescent="0.2">
      <c r="C31" s="239" t="s">
        <v>346</v>
      </c>
    </row>
    <row r="32" spans="1:5" ht="19.5" customHeight="1" x14ac:dyDescent="0.2">
      <c r="C32" s="239" t="s">
        <v>75</v>
      </c>
    </row>
    <row r="33" spans="3:3" ht="19.5" customHeight="1" x14ac:dyDescent="0.2">
      <c r="C33" s="259" t="s">
        <v>399</v>
      </c>
    </row>
    <row r="34" spans="3:3" ht="19.5" customHeight="1" x14ac:dyDescent="0.2">
      <c r="C34" s="259" t="s">
        <v>521</v>
      </c>
    </row>
    <row r="35" spans="3:3" ht="19.5" customHeight="1" x14ac:dyDescent="0.2">
      <c r="C35" s="259" t="s">
        <v>373</v>
      </c>
    </row>
    <row r="36" spans="3:3" ht="19.5" customHeight="1" x14ac:dyDescent="0.2">
      <c r="C36" s="259" t="s">
        <v>540</v>
      </c>
    </row>
    <row r="37" spans="3:3" ht="19.5" customHeight="1" x14ac:dyDescent="0.2">
      <c r="C37" s="259" t="s">
        <v>370</v>
      </c>
    </row>
    <row r="38" spans="3:3" ht="19.5" customHeight="1" x14ac:dyDescent="0.2">
      <c r="C38" s="259" t="s">
        <v>90</v>
      </c>
    </row>
    <row r="39" spans="3:3" ht="19.5" customHeight="1" x14ac:dyDescent="0.2">
      <c r="C39" s="259" t="s">
        <v>71</v>
      </c>
    </row>
    <row r="40" spans="3:3" ht="19.5" customHeight="1" x14ac:dyDescent="0.2">
      <c r="C40" s="259" t="s">
        <v>543</v>
      </c>
    </row>
    <row r="41" spans="3:3" ht="19.5" customHeight="1" x14ac:dyDescent="0.2">
      <c r="C41" s="259" t="s">
        <v>428</v>
      </c>
    </row>
    <row r="42" spans="3:3" ht="19.5" customHeight="1" x14ac:dyDescent="0.2">
      <c r="C42" s="259" t="s">
        <v>371</v>
      </c>
    </row>
  </sheetData>
  <sheetProtection selectLockedCells="1" selectUnlockedCells="1"/>
  <sortState xmlns:xlrd2="http://schemas.microsoft.com/office/spreadsheetml/2017/richdata2" ref="H15:H42">
    <sortCondition ref="H4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19</vt:i4>
      </vt:variant>
      <vt:variant>
        <vt:lpstr>Benoemde bereiken</vt:lpstr>
      </vt:variant>
      <vt:variant>
        <vt:i4>19</vt:i4>
      </vt:variant>
    </vt:vector>
  </HeadingPairs>
  <TitlesOfParts>
    <vt:vector size="38" baseType="lpstr">
      <vt:lpstr>blad0</vt:lpstr>
      <vt:lpstr>kalender</vt:lpstr>
      <vt:lpstr>race-info</vt:lpstr>
      <vt:lpstr>VT1</vt:lpstr>
      <vt:lpstr>VT2</vt:lpstr>
      <vt:lpstr>VT3</vt:lpstr>
      <vt:lpstr>KW</vt:lpstr>
      <vt:lpstr>SO</vt:lpstr>
      <vt:lpstr>uitslag</vt:lpstr>
      <vt:lpstr>progressie</vt:lpstr>
      <vt:lpstr>stnd_cou</vt:lpstr>
      <vt:lpstr>stnd_con</vt:lpstr>
      <vt:lpstr>gem_start</vt:lpstr>
      <vt:lpstr>team-info</vt:lpstr>
      <vt:lpstr>Blad1</vt:lpstr>
      <vt:lpstr>Blad2</vt:lpstr>
      <vt:lpstr>Blad3</vt:lpstr>
      <vt:lpstr>Blad4</vt:lpstr>
      <vt:lpstr>Blad5</vt:lpstr>
      <vt:lpstr>blad0!Afdrukbereik</vt:lpstr>
      <vt:lpstr>kalender!Afdrukbereik</vt:lpstr>
      <vt:lpstr>dagen</vt:lpstr>
      <vt:lpstr>grandprix</vt:lpstr>
      <vt:lpstr>info_rijder</vt:lpstr>
      <vt:lpstr>kwali_uitslag</vt:lpstr>
      <vt:lpstr>minuten</vt:lpstr>
      <vt:lpstr>punten_rijder</vt:lpstr>
      <vt:lpstr>punten_teams</vt:lpstr>
      <vt:lpstr>rijder</vt:lpstr>
      <vt:lpstr>rijder_team</vt:lpstr>
      <vt:lpstr>snelste_ronde</vt:lpstr>
      <vt:lpstr>SO</vt:lpstr>
      <vt:lpstr>startgrid</vt:lpstr>
      <vt:lpstr>teaminfo</vt:lpstr>
      <vt:lpstr>uren</vt:lpstr>
      <vt:lpstr>vorige_stand</vt:lpstr>
      <vt:lpstr>Blad4!VT_KW</vt:lpstr>
      <vt:lpstr>VT_KW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F1-2019</dc:title>
  <dc:creator>Didier van Haaren</dc:creator>
  <dc:description>©2012</dc:description>
  <cp:lastModifiedBy>Didier</cp:lastModifiedBy>
  <cp:lastPrinted>2010-03-12T11:09:53Z</cp:lastPrinted>
  <dcterms:created xsi:type="dcterms:W3CDTF">2009-02-23T18:22:00Z</dcterms:created>
  <dcterms:modified xsi:type="dcterms:W3CDTF">2019-09-08T16:02:56Z</dcterms:modified>
</cp:coreProperties>
</file>